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D:\Cricket\2022-2023\"/>
    </mc:Choice>
  </mc:AlternateContent>
  <xr:revisionPtr revIDLastSave="0" documentId="13_ncr:1_{012A7D6F-0704-4B1C-8293-EEA901E06879}" xr6:coauthVersionLast="47" xr6:coauthVersionMax="47" xr10:uidLastSave="{00000000-0000-0000-0000-000000000000}"/>
  <bookViews>
    <workbookView xWindow="19200" yWindow="0" windowWidth="19200" windowHeight="15600" xr2:uid="{00000000-000D-0000-FFFF-FFFF00000000}"/>
  </bookViews>
  <sheets>
    <sheet name="MASTER" sheetId="1" r:id="rId1"/>
    <sheet name="Sheet1" sheetId="2" r:id="rId2"/>
  </sheets>
  <definedNames>
    <definedName name="_xlnm._FilterDatabase" localSheetId="0" hidden="1">MASTER!$A$1:$O$1585</definedName>
    <definedName name="_xlnm.Print_Titles" localSheetId="0">MASTER!$1:$5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2" i="1" l="1"/>
  <c r="M592" i="1"/>
  <c r="L592" i="1"/>
  <c r="K592" i="1"/>
  <c r="I592" i="1"/>
  <c r="H592" i="1"/>
  <c r="G592" i="1"/>
  <c r="F592" i="1"/>
  <c r="D592" i="1"/>
  <c r="M390" i="1"/>
  <c r="L390" i="1"/>
  <c r="K390" i="1"/>
  <c r="H390" i="1"/>
  <c r="G390" i="1"/>
  <c r="F390" i="1"/>
  <c r="D390" i="1"/>
  <c r="N598" i="1"/>
  <c r="M598" i="1"/>
  <c r="L598" i="1"/>
  <c r="K598" i="1"/>
  <c r="H598" i="1"/>
  <c r="I598" i="1" s="1"/>
  <c r="F598" i="1"/>
  <c r="G598" i="1"/>
  <c r="G1010" i="1"/>
  <c r="F1010" i="1"/>
  <c r="D598" i="1"/>
  <c r="M1010" i="1"/>
  <c r="L1010" i="1"/>
  <c r="K1010" i="1"/>
  <c r="H1010" i="1"/>
  <c r="D1010" i="1"/>
  <c r="M1146" i="1"/>
  <c r="L1146" i="1"/>
  <c r="K1146" i="1"/>
  <c r="M24" i="1"/>
  <c r="L24" i="1"/>
  <c r="K24" i="1"/>
  <c r="H1146" i="1"/>
  <c r="G1146" i="1"/>
  <c r="F1146" i="1"/>
  <c r="D1146" i="1"/>
  <c r="I24" i="1"/>
  <c r="H24" i="1"/>
  <c r="G24" i="1"/>
  <c r="F24" i="1"/>
  <c r="D24" i="1"/>
  <c r="H51" i="1"/>
  <c r="G51" i="1"/>
  <c r="F51" i="1"/>
  <c r="M51" i="1"/>
  <c r="L51" i="1"/>
  <c r="K51" i="1"/>
  <c r="D51" i="1"/>
  <c r="M473" i="1"/>
  <c r="L473" i="1"/>
  <c r="K473" i="1"/>
  <c r="H473" i="1"/>
  <c r="G473" i="1"/>
  <c r="F473" i="1"/>
  <c r="D473" i="1"/>
  <c r="I51" i="1" l="1"/>
  <c r="M1259" i="1" l="1"/>
  <c r="L1259" i="1"/>
  <c r="K1259" i="1"/>
  <c r="H1259" i="1"/>
  <c r="F1259" i="1"/>
  <c r="M8" i="1"/>
  <c r="L8" i="1"/>
  <c r="K8" i="1"/>
  <c r="H8" i="1"/>
  <c r="F8" i="1"/>
  <c r="M887" i="1"/>
  <c r="K887" i="1"/>
  <c r="M1486" i="1"/>
  <c r="L1486" i="1"/>
  <c r="K1486" i="1"/>
  <c r="H1486" i="1"/>
  <c r="F1486" i="1"/>
  <c r="F591" i="1"/>
  <c r="M1225" i="1"/>
  <c r="L1225" i="1"/>
  <c r="K1225" i="1"/>
  <c r="H1225" i="1"/>
  <c r="F1225" i="1"/>
  <c r="F682" i="1"/>
  <c r="M1131" i="1"/>
  <c r="L1131" i="1"/>
  <c r="K1131" i="1"/>
  <c r="M241" i="1"/>
  <c r="K241" i="1"/>
  <c r="H241" i="1"/>
  <c r="F241" i="1"/>
  <c r="H295" i="1"/>
  <c r="F295" i="1"/>
  <c r="M1193" i="1"/>
  <c r="L1193" i="1"/>
  <c r="K1193" i="1"/>
  <c r="H735" i="1"/>
  <c r="G735" i="1"/>
  <c r="F735" i="1"/>
  <c r="H1414" i="1"/>
  <c r="F1414" i="1"/>
  <c r="M1414" i="1"/>
  <c r="L1414" i="1"/>
  <c r="K1414" i="1"/>
  <c r="M735" i="1"/>
  <c r="K735" i="1"/>
  <c r="H1140" i="1"/>
  <c r="F1140" i="1"/>
  <c r="N63" i="1" l="1"/>
  <c r="N763" i="1"/>
  <c r="N1259" i="1"/>
  <c r="N1405" i="1"/>
  <c r="N1133" i="1"/>
  <c r="N1478" i="1"/>
  <c r="N113" i="1"/>
  <c r="N1461" i="1"/>
  <c r="N1237" i="1"/>
  <c r="N1396" i="1"/>
  <c r="N1430" i="1"/>
  <c r="N1236" i="1"/>
  <c r="N472" i="1"/>
  <c r="N1437" i="1"/>
  <c r="N160" i="1"/>
  <c r="I63" i="1"/>
  <c r="I763" i="1"/>
  <c r="I1259" i="1"/>
  <c r="I1405" i="1"/>
  <c r="I1133" i="1"/>
  <c r="I1478" i="1"/>
  <c r="I113" i="1"/>
  <c r="I1461" i="1"/>
  <c r="I1237" i="1"/>
  <c r="I1396" i="1"/>
  <c r="I1430" i="1"/>
  <c r="I1236" i="1"/>
  <c r="I472" i="1"/>
  <c r="I1437" i="1"/>
  <c r="I160" i="1"/>
  <c r="N676" i="1"/>
  <c r="N108" i="1"/>
  <c r="N447" i="1"/>
  <c r="N918" i="1"/>
  <c r="N669" i="1"/>
  <c r="N812" i="1"/>
  <c r="N963" i="1"/>
  <c r="N915" i="1"/>
  <c r="N1203" i="1"/>
  <c r="I676" i="1"/>
  <c r="I108" i="1"/>
  <c r="I447" i="1"/>
  <c r="I918" i="1"/>
  <c r="I669" i="1"/>
  <c r="I812" i="1"/>
  <c r="I963" i="1"/>
  <c r="I915" i="1"/>
  <c r="M891" i="1" l="1"/>
  <c r="L891" i="1"/>
  <c r="K891" i="1"/>
  <c r="H891" i="1"/>
  <c r="G891" i="1"/>
  <c r="F891" i="1"/>
  <c r="D891" i="1"/>
  <c r="M810" i="1"/>
  <c r="L810" i="1"/>
  <c r="K810" i="1"/>
  <c r="H810" i="1"/>
  <c r="F810" i="1"/>
  <c r="D810" i="1"/>
  <c r="M1031" i="1"/>
  <c r="L1031" i="1"/>
  <c r="K1031" i="1"/>
  <c r="H1031" i="1"/>
  <c r="F1031" i="1"/>
  <c r="N1099" i="1"/>
  <c r="I1099" i="1"/>
  <c r="G1140" i="1"/>
  <c r="N1140" i="1"/>
  <c r="M415" i="1"/>
  <c r="L415" i="1"/>
  <c r="K415" i="1"/>
  <c r="H415" i="1"/>
  <c r="G415" i="1"/>
  <c r="F415" i="1"/>
  <c r="M974" i="1"/>
  <c r="L974" i="1"/>
  <c r="K974" i="1"/>
  <c r="H974" i="1"/>
  <c r="F974" i="1"/>
  <c r="D974" i="1"/>
  <c r="H1156" i="1"/>
  <c r="G1156" i="1"/>
  <c r="F1156" i="1"/>
  <c r="D1156" i="1"/>
  <c r="M316" i="1"/>
  <c r="L316" i="1"/>
  <c r="K316" i="1"/>
  <c r="H316" i="1"/>
  <c r="F316" i="1"/>
  <c r="M94" i="1"/>
  <c r="K94" i="1"/>
  <c r="H94" i="1"/>
  <c r="G94" i="1"/>
  <c r="F94" i="1"/>
  <c r="D94" i="1"/>
  <c r="M869" i="1"/>
  <c r="L869" i="1"/>
  <c r="K869" i="1"/>
  <c r="H869" i="1"/>
  <c r="G869" i="1"/>
  <c r="F869" i="1"/>
  <c r="D869" i="1"/>
  <c r="M1083" i="1"/>
  <c r="L1083" i="1"/>
  <c r="K1083" i="1"/>
  <c r="H1083" i="1"/>
  <c r="F1083" i="1"/>
  <c r="D1083" i="1"/>
  <c r="H798" i="1"/>
  <c r="G798" i="1"/>
  <c r="F798" i="1"/>
  <c r="N1258" i="1"/>
  <c r="I1258" i="1"/>
  <c r="M1257" i="1"/>
  <c r="L1257" i="1"/>
  <c r="K1257" i="1"/>
  <c r="H1257" i="1"/>
  <c r="G1257" i="1"/>
  <c r="F1257" i="1"/>
  <c r="D1257" i="1"/>
  <c r="H1380" i="1"/>
  <c r="G1380" i="1"/>
  <c r="F1380" i="1"/>
  <c r="D1380" i="1"/>
  <c r="H1094" i="1"/>
  <c r="F1094" i="1"/>
  <c r="I1140" i="1" l="1"/>
  <c r="M1496" i="1" l="1"/>
  <c r="L1496" i="1"/>
  <c r="K1496" i="1"/>
  <c r="H1496" i="1"/>
  <c r="G1496" i="1"/>
  <c r="F1496" i="1"/>
  <c r="N8" i="1"/>
  <c r="I8" i="1"/>
  <c r="L887" i="1"/>
  <c r="H887" i="1"/>
  <c r="F887" i="1"/>
  <c r="N33" i="1"/>
  <c r="I33" i="1"/>
  <c r="H509" i="1"/>
  <c r="F509" i="1"/>
  <c r="G1486" i="1"/>
  <c r="N159" i="1"/>
  <c r="I159" i="1"/>
  <c r="H591" i="1"/>
  <c r="G591" i="1"/>
  <c r="N945" i="1"/>
  <c r="I945" i="1"/>
  <c r="G1225" i="1"/>
  <c r="H682" i="1"/>
  <c r="D682" i="1"/>
  <c r="L241" i="1"/>
  <c r="G241" i="1"/>
  <c r="H1131" i="1"/>
  <c r="F1131" i="1"/>
  <c r="N1193" i="1"/>
  <c r="I1193" i="1"/>
  <c r="M1407" i="1"/>
  <c r="L1407" i="1"/>
  <c r="K1407" i="1"/>
  <c r="H1407" i="1"/>
  <c r="F1407" i="1"/>
  <c r="D1407" i="1"/>
  <c r="N52" i="1"/>
  <c r="I52" i="1"/>
  <c r="M615" i="1"/>
  <c r="L615" i="1"/>
  <c r="K615" i="1"/>
  <c r="H615" i="1"/>
  <c r="G615" i="1"/>
  <c r="F615" i="1"/>
  <c r="G1414" i="1"/>
  <c r="N584" i="1"/>
  <c r="I584" i="1"/>
  <c r="M837" i="1"/>
  <c r="L837" i="1"/>
  <c r="K837" i="1"/>
  <c r="F837" i="1"/>
  <c r="D837" i="1"/>
  <c r="M1145" i="1" l="1"/>
  <c r="L1145" i="1"/>
  <c r="K1145" i="1"/>
  <c r="H1145" i="1"/>
  <c r="G1145" i="1"/>
  <c r="F1145" i="1"/>
  <c r="H1262" i="1"/>
  <c r="G1262" i="1"/>
  <c r="F1262" i="1"/>
  <c r="D1262" i="1"/>
  <c r="M693" i="1"/>
  <c r="L693" i="1"/>
  <c r="K693" i="1"/>
  <c r="H693" i="1"/>
  <c r="G693" i="1"/>
  <c r="F693" i="1"/>
  <c r="D693" i="1"/>
  <c r="H1330" i="1"/>
  <c r="G1330" i="1"/>
  <c r="F1330" i="1"/>
  <c r="H1374" i="1"/>
  <c r="F1374" i="1"/>
  <c r="M1327" i="1"/>
  <c r="L1327" i="1"/>
  <c r="K1327" i="1"/>
  <c r="H1327" i="1"/>
  <c r="G1327" i="1"/>
  <c r="F1327" i="1"/>
  <c r="D1327" i="1"/>
  <c r="M1322" i="1"/>
  <c r="L1322" i="1"/>
  <c r="K1322" i="1"/>
  <c r="H1322" i="1"/>
  <c r="G1322" i="1"/>
  <c r="F1322" i="1"/>
  <c r="D1322" i="1"/>
  <c r="M1306" i="1"/>
  <c r="L1306" i="1"/>
  <c r="K1306" i="1"/>
  <c r="H1306" i="1"/>
  <c r="G1306" i="1"/>
  <c r="F1306" i="1"/>
  <c r="D1306" i="1"/>
  <c r="M321" i="1"/>
  <c r="L321" i="1"/>
  <c r="K321" i="1"/>
  <c r="H321" i="1"/>
  <c r="F321" i="1"/>
  <c r="D321" i="1"/>
  <c r="M727" i="1"/>
  <c r="L727" i="1"/>
  <c r="K727" i="1"/>
  <c r="H727" i="1"/>
  <c r="F727" i="1"/>
  <c r="N1017" i="1"/>
  <c r="I1017" i="1"/>
  <c r="M1255" i="1"/>
  <c r="L1255" i="1"/>
  <c r="K1255" i="1"/>
  <c r="H1255" i="1"/>
  <c r="G1255" i="1"/>
  <c r="F1255" i="1"/>
  <c r="D1255" i="1"/>
  <c r="N840" i="1" l="1"/>
  <c r="I840" i="1"/>
  <c r="M70" i="1"/>
  <c r="L70" i="1"/>
  <c r="K70" i="1"/>
  <c r="H70" i="1"/>
  <c r="F70" i="1"/>
  <c r="N69" i="1"/>
  <c r="I69" i="1"/>
  <c r="M977" i="1"/>
  <c r="L977" i="1"/>
  <c r="K977" i="1"/>
  <c r="H977" i="1"/>
  <c r="G977" i="1"/>
  <c r="F977" i="1"/>
  <c r="N1266" i="1"/>
  <c r="I1266" i="1"/>
  <c r="M724" i="1"/>
  <c r="L724" i="1"/>
  <c r="K724" i="1"/>
  <c r="H724" i="1"/>
  <c r="G724" i="1"/>
  <c r="F724" i="1"/>
  <c r="M723" i="1"/>
  <c r="L723" i="1"/>
  <c r="K723" i="1"/>
  <c r="H723" i="1"/>
  <c r="F723" i="1"/>
  <c r="M829" i="1"/>
  <c r="L829" i="1"/>
  <c r="K829" i="1"/>
  <c r="H829" i="1"/>
  <c r="F829" i="1"/>
  <c r="H711" i="1"/>
  <c r="G711" i="1"/>
  <c r="F711" i="1"/>
  <c r="K711" i="1"/>
  <c r="L711" i="1"/>
  <c r="M711" i="1"/>
  <c r="N710" i="1"/>
  <c r="I710" i="1"/>
  <c r="N547" i="1"/>
  <c r="I547" i="1"/>
  <c r="N389" i="1"/>
  <c r="I389" i="1"/>
  <c r="N1251" i="1"/>
  <c r="I1251" i="1"/>
  <c r="N673" i="1"/>
  <c r="I673" i="1"/>
  <c r="M943" i="1"/>
  <c r="K943" i="1"/>
  <c r="H943" i="1"/>
  <c r="G943" i="1"/>
  <c r="F943" i="1"/>
  <c r="H1011" i="1"/>
  <c r="F1011" i="1"/>
  <c r="M1011" i="1"/>
  <c r="L1011" i="1"/>
  <c r="K1011" i="1"/>
  <c r="N708" i="1"/>
  <c r="I708" i="1"/>
  <c r="M1057" i="1" l="1"/>
  <c r="L1057" i="1"/>
  <c r="K1057" i="1"/>
  <c r="H1057" i="1"/>
  <c r="F1057" i="1"/>
  <c r="N233" i="1"/>
  <c r="I233" i="1"/>
  <c r="N304" i="1"/>
  <c r="I304" i="1"/>
  <c r="N1332" i="1"/>
  <c r="I1332" i="1"/>
  <c r="M1218" i="1"/>
  <c r="L1218" i="1"/>
  <c r="K1218" i="1"/>
  <c r="H1218" i="1"/>
  <c r="F1218" i="1"/>
  <c r="D1218" i="1"/>
  <c r="N1260" i="1"/>
  <c r="I1260" i="1"/>
  <c r="H533" i="1"/>
  <c r="F533" i="1"/>
  <c r="H1439" i="1"/>
  <c r="F1439" i="1"/>
  <c r="D1439" i="1"/>
  <c r="M641" i="1"/>
  <c r="L641" i="1"/>
  <c r="K641" i="1"/>
  <c r="H641" i="1"/>
  <c r="G641" i="1"/>
  <c r="F641" i="1"/>
  <c r="D641" i="1"/>
  <c r="M1043" i="1"/>
  <c r="K1043" i="1"/>
  <c r="H1043" i="1"/>
  <c r="F1043" i="1"/>
  <c r="D1043" i="1"/>
  <c r="M1217" i="1"/>
  <c r="L1217" i="1"/>
  <c r="K1217" i="1"/>
  <c r="H1217" i="1"/>
  <c r="G1217" i="1"/>
  <c r="F1217" i="1"/>
  <c r="D1217" i="1"/>
  <c r="M1027" i="1"/>
  <c r="L1027" i="1"/>
  <c r="K1027" i="1"/>
  <c r="H1027" i="1"/>
  <c r="F1027" i="1"/>
  <c r="N969" i="1"/>
  <c r="I969" i="1"/>
  <c r="N375" i="1"/>
  <c r="I375" i="1"/>
  <c r="M252" i="1"/>
  <c r="L252" i="1"/>
  <c r="K252" i="1"/>
  <c r="H252" i="1"/>
  <c r="G252" i="1"/>
  <c r="F252" i="1"/>
  <c r="M1037" i="1"/>
  <c r="L1037" i="1"/>
  <c r="K1037" i="1"/>
  <c r="H1037" i="1"/>
  <c r="G1037" i="1"/>
  <c r="F1037" i="1"/>
  <c r="D1037" i="1"/>
  <c r="M909" i="1"/>
  <c r="K909" i="1"/>
  <c r="H909" i="1"/>
  <c r="G909" i="1"/>
  <c r="F909" i="1"/>
  <c r="D909" i="1"/>
  <c r="M1216" i="1"/>
  <c r="L1216" i="1"/>
  <c r="K1216" i="1"/>
  <c r="H1216" i="1"/>
  <c r="G1216" i="1"/>
  <c r="F1216" i="1"/>
  <c r="H356" i="1" l="1"/>
  <c r="F356" i="1"/>
  <c r="D356" i="1"/>
  <c r="M664" i="1"/>
  <c r="L664" i="1"/>
  <c r="K664" i="1"/>
  <c r="H664" i="1"/>
  <c r="F664" i="1"/>
  <c r="H663" i="1"/>
  <c r="G663" i="1"/>
  <c r="F663" i="1"/>
  <c r="D663" i="1"/>
  <c r="N910" i="1"/>
  <c r="I910" i="1"/>
  <c r="N130" i="1"/>
  <c r="I130" i="1"/>
  <c r="N748" i="1"/>
  <c r="I748" i="1"/>
  <c r="N1333" i="1"/>
  <c r="I1333" i="1"/>
  <c r="M1331" i="1"/>
  <c r="L1331" i="1"/>
  <c r="K1331" i="1"/>
  <c r="H1331" i="1"/>
  <c r="F1331" i="1"/>
  <c r="D1331" i="1"/>
  <c r="M746" i="1"/>
  <c r="L746" i="1"/>
  <c r="K746" i="1"/>
  <c r="H746" i="1"/>
  <c r="G746" i="1"/>
  <c r="F746" i="1"/>
  <c r="N53" i="1"/>
  <c r="I53" i="1"/>
  <c r="N828" i="1"/>
  <c r="I828" i="1"/>
  <c r="D662" i="1"/>
  <c r="M470" i="1"/>
  <c r="L470" i="1"/>
  <c r="K470" i="1"/>
  <c r="H470" i="1"/>
  <c r="G470" i="1"/>
  <c r="F470" i="1"/>
  <c r="M1295" i="1"/>
  <c r="L1295" i="1"/>
  <c r="K1295" i="1"/>
  <c r="H1295" i="1"/>
  <c r="G1295" i="1"/>
  <c r="F1295" i="1"/>
  <c r="D1295" i="1"/>
  <c r="N599" i="1"/>
  <c r="I599" i="1"/>
  <c r="M1451" i="1" l="1"/>
  <c r="L1451" i="1"/>
  <c r="K1451" i="1"/>
  <c r="H1451" i="1"/>
  <c r="G1451" i="1"/>
  <c r="F1451" i="1"/>
  <c r="D1451" i="1"/>
  <c r="M1265" i="1"/>
  <c r="L1265" i="1"/>
  <c r="K1265" i="1"/>
  <c r="H1265" i="1"/>
  <c r="G1265" i="1"/>
  <c r="F1265" i="1"/>
  <c r="D1265" i="1"/>
  <c r="N491" i="1"/>
  <c r="I491" i="1"/>
  <c r="M1054" i="1"/>
  <c r="L1054" i="1"/>
  <c r="K1054" i="1"/>
  <c r="H1054" i="1"/>
  <c r="G1054" i="1"/>
  <c r="F1054" i="1"/>
  <c r="D1054" i="1"/>
  <c r="M1220" i="1"/>
  <c r="L1220" i="1"/>
  <c r="K1220" i="1"/>
  <c r="H1220" i="1"/>
  <c r="G1220" i="1"/>
  <c r="F1220" i="1"/>
  <c r="D1220" i="1"/>
  <c r="M765" i="1"/>
  <c r="L765" i="1"/>
  <c r="K765" i="1"/>
  <c r="D765" i="1"/>
  <c r="N1485" i="1"/>
  <c r="I1485" i="1"/>
  <c r="M1003" i="1"/>
  <c r="L1003" i="1"/>
  <c r="K1003" i="1"/>
  <c r="H367" i="1"/>
  <c r="F367" i="1"/>
  <c r="D367" i="1"/>
  <c r="H1510" i="1"/>
  <c r="G1510" i="1"/>
  <c r="F1510" i="1"/>
  <c r="D1510" i="1"/>
  <c r="M1211" i="1"/>
  <c r="L1211" i="1"/>
  <c r="K1211" i="1"/>
  <c r="H1211" i="1"/>
  <c r="G1211" i="1"/>
  <c r="F1211" i="1"/>
  <c r="D1211" i="1"/>
  <c r="M118" i="1"/>
  <c r="L118" i="1"/>
  <c r="K118" i="1"/>
  <c r="H118" i="1"/>
  <c r="F118" i="1"/>
  <c r="D118" i="1"/>
  <c r="M698" i="1"/>
  <c r="K698" i="1"/>
  <c r="H698" i="1"/>
  <c r="G698" i="1"/>
  <c r="F698" i="1"/>
  <c r="M1159" i="1"/>
  <c r="L1159" i="1"/>
  <c r="K1159" i="1"/>
  <c r="H1159" i="1"/>
  <c r="G1159" i="1"/>
  <c r="F1159" i="1"/>
  <c r="D1159" i="1"/>
  <c r="M771" i="1"/>
  <c r="L771" i="1"/>
  <c r="K771" i="1"/>
  <c r="H771" i="1"/>
  <c r="G771" i="1"/>
  <c r="F771" i="1"/>
  <c r="D771" i="1"/>
  <c r="M310" i="1"/>
  <c r="K310" i="1"/>
  <c r="H310" i="1"/>
  <c r="G310" i="1"/>
  <c r="F310" i="1"/>
  <c r="H1158" i="1"/>
  <c r="G1158" i="1"/>
  <c r="F1158" i="1"/>
  <c r="D1158" i="1"/>
  <c r="H1189" i="1"/>
  <c r="G1189" i="1"/>
  <c r="F1189" i="1"/>
  <c r="D1189" i="1"/>
  <c r="H761" i="1" l="1"/>
  <c r="G761" i="1"/>
  <c r="F761" i="1"/>
  <c r="N1267" i="1"/>
  <c r="I1267" i="1"/>
  <c r="N1499" i="1"/>
  <c r="I1499" i="1"/>
  <c r="M613" i="1"/>
  <c r="L613" i="1"/>
  <c r="K613" i="1"/>
  <c r="H613" i="1"/>
  <c r="G613" i="1"/>
  <c r="F613" i="1"/>
  <c r="N484" i="1"/>
  <c r="I484" i="1"/>
  <c r="N1342" i="1"/>
  <c r="I1342" i="1"/>
  <c r="M255" i="1"/>
  <c r="L255" i="1"/>
  <c r="K255" i="1"/>
  <c r="H255" i="1"/>
  <c r="F255" i="1"/>
  <c r="D255" i="1"/>
  <c r="N758" i="1"/>
  <c r="I758" i="1"/>
  <c r="M883" i="1"/>
  <c r="L883" i="1"/>
  <c r="K883" i="1"/>
  <c r="H883" i="1"/>
  <c r="F883" i="1"/>
  <c r="M1334" i="1"/>
  <c r="L1334" i="1"/>
  <c r="K1334" i="1"/>
  <c r="H1334" i="1"/>
  <c r="G1334" i="1"/>
  <c r="F1334" i="1"/>
  <c r="N752" i="1"/>
  <c r="I752" i="1"/>
  <c r="N1373" i="1"/>
  <c r="I1373" i="1"/>
  <c r="N1290" i="1"/>
  <c r="I1290" i="1"/>
  <c r="N1119" i="1"/>
  <c r="I1119" i="1"/>
  <c r="N1214" i="1"/>
  <c r="N651" i="1"/>
  <c r="I651" i="1"/>
  <c r="M1289" i="1" l="1"/>
  <c r="L1289" i="1"/>
  <c r="K1289" i="1"/>
  <c r="H1289" i="1"/>
  <c r="G1289" i="1"/>
  <c r="F1289" i="1"/>
  <c r="D1289" i="1"/>
  <c r="M1339" i="1"/>
  <c r="L1339" i="1"/>
  <c r="K1339" i="1"/>
  <c r="H1339" i="1"/>
  <c r="G1339" i="1"/>
  <c r="F1339" i="1"/>
  <c r="E1339" i="1"/>
  <c r="D1339" i="1"/>
  <c r="H44" i="1"/>
  <c r="F44" i="1"/>
  <c r="E44" i="1"/>
  <c r="D44" i="1"/>
  <c r="M1462" i="1"/>
  <c r="L1462" i="1"/>
  <c r="K1462" i="1"/>
  <c r="H1462" i="1"/>
  <c r="G1462" i="1"/>
  <c r="F1462" i="1"/>
  <c r="E1462" i="1"/>
  <c r="D1462" i="1"/>
  <c r="N227" i="1"/>
  <c r="I227" i="1"/>
  <c r="I1046" i="1"/>
  <c r="N1046" i="1"/>
  <c r="M213" i="1"/>
  <c r="L213" i="1"/>
  <c r="K213" i="1"/>
  <c r="H213" i="1"/>
  <c r="G213" i="1"/>
  <c r="F213" i="1"/>
  <c r="E213" i="1"/>
  <c r="D213" i="1"/>
  <c r="M1428" i="1"/>
  <c r="L1428" i="1"/>
  <c r="K1428" i="1"/>
  <c r="H1428" i="1"/>
  <c r="G1428" i="1"/>
  <c r="F1428" i="1"/>
  <c r="E1428" i="1"/>
  <c r="D1428" i="1"/>
  <c r="M355" i="1"/>
  <c r="L355" i="1"/>
  <c r="K355" i="1"/>
  <c r="H355" i="1"/>
  <c r="G355" i="1"/>
  <c r="F355" i="1"/>
  <c r="E355" i="1"/>
  <c r="D355" i="1"/>
  <c r="I935" i="1"/>
  <c r="N935" i="1"/>
  <c r="N507" i="1"/>
  <c r="I507" i="1"/>
  <c r="E1257" i="1"/>
  <c r="N1427" i="1"/>
  <c r="I1427" i="1"/>
  <c r="N1426" i="1"/>
  <c r="I1426" i="1"/>
  <c r="M116" i="1"/>
  <c r="L116" i="1"/>
  <c r="K116" i="1"/>
  <c r="H116" i="1"/>
  <c r="G116" i="1"/>
  <c r="F116" i="1"/>
  <c r="E116" i="1"/>
  <c r="D116" i="1"/>
  <c r="E1146" i="1"/>
  <c r="N1142" i="1"/>
  <c r="I1142" i="1"/>
  <c r="E1010" i="1"/>
  <c r="E390" i="1"/>
  <c r="E473" i="1"/>
  <c r="N321" i="1"/>
  <c r="I321" i="1"/>
  <c r="N1330" i="1"/>
  <c r="I1330" i="1"/>
  <c r="N693" i="1"/>
  <c r="I693" i="1"/>
  <c r="I1262" i="1"/>
  <c r="N1262" i="1"/>
  <c r="N1374" i="1"/>
  <c r="I1374" i="1"/>
  <c r="N1322" i="1"/>
  <c r="I1322" i="1"/>
  <c r="N727" i="1"/>
  <c r="I727" i="1"/>
  <c r="N1327" i="1"/>
  <c r="I1327" i="1"/>
  <c r="N1145" i="1"/>
  <c r="I1145" i="1"/>
  <c r="N1209" i="1"/>
  <c r="I1209" i="1"/>
  <c r="N1255" i="1"/>
  <c r="I1255" i="1"/>
  <c r="I887" i="1"/>
  <c r="N887" i="1"/>
  <c r="M322" i="1"/>
  <c r="L322" i="1"/>
  <c r="K322" i="1"/>
  <c r="H322" i="1"/>
  <c r="G322" i="1"/>
  <c r="F322" i="1"/>
  <c r="E322" i="1"/>
  <c r="D322" i="1"/>
  <c r="N1032" i="1"/>
  <c r="I1032" i="1"/>
  <c r="E1496" i="1"/>
  <c r="D1496" i="1"/>
  <c r="N682" i="1"/>
  <c r="I682" i="1"/>
  <c r="M509" i="1"/>
  <c r="L509" i="1"/>
  <c r="K509" i="1"/>
  <c r="G509" i="1"/>
  <c r="E509" i="1"/>
  <c r="D509" i="1"/>
  <c r="M1185" i="1"/>
  <c r="L1185" i="1"/>
  <c r="K1185" i="1"/>
  <c r="H1185" i="1"/>
  <c r="G1185" i="1"/>
  <c r="F1185" i="1"/>
  <c r="D1185" i="1"/>
  <c r="E591" i="1"/>
  <c r="D591" i="1"/>
  <c r="M886" i="1"/>
  <c r="L886" i="1"/>
  <c r="K886" i="1"/>
  <c r="H886" i="1"/>
  <c r="G886" i="1"/>
  <c r="F886" i="1"/>
  <c r="D886" i="1"/>
  <c r="N254" i="1"/>
  <c r="I254" i="1"/>
  <c r="M649" i="1"/>
  <c r="L649" i="1"/>
  <c r="K649" i="1"/>
  <c r="H649" i="1"/>
  <c r="G649" i="1"/>
  <c r="F649" i="1"/>
  <c r="E649" i="1"/>
  <c r="D649" i="1"/>
  <c r="M506" i="1"/>
  <c r="L506" i="1"/>
  <c r="K506" i="1"/>
  <c r="H506" i="1"/>
  <c r="G506" i="1"/>
  <c r="F506" i="1"/>
  <c r="E506" i="1"/>
  <c r="D506" i="1"/>
  <c r="N449" i="1"/>
  <c r="I449" i="1"/>
  <c r="M647" i="1"/>
  <c r="L647" i="1"/>
  <c r="K647" i="1"/>
  <c r="H647" i="1"/>
  <c r="G647" i="1"/>
  <c r="F647" i="1"/>
  <c r="E647" i="1"/>
  <c r="D647" i="1"/>
  <c r="H99" i="1"/>
  <c r="G99" i="1"/>
  <c r="F99" i="1"/>
  <c r="E99" i="1"/>
  <c r="D99" i="1"/>
  <c r="G295" i="1"/>
  <c r="E295" i="1"/>
  <c r="D295" i="1"/>
  <c r="G1131" i="1"/>
  <c r="E1131" i="1"/>
  <c r="D1131" i="1"/>
  <c r="E241" i="1"/>
  <c r="D241" i="1"/>
  <c r="E1225" i="1"/>
  <c r="G1407" i="1"/>
  <c r="N773" i="1"/>
  <c r="I773" i="1"/>
  <c r="N1202" i="1"/>
  <c r="I1202" i="1"/>
  <c r="N76" i="1"/>
  <c r="I76" i="1"/>
  <c r="N1410" i="1"/>
  <c r="I1410" i="1"/>
  <c r="N977" i="1"/>
  <c r="I977" i="1"/>
  <c r="N798" i="1"/>
  <c r="I798" i="1"/>
  <c r="N1380" i="1"/>
  <c r="I1380" i="1"/>
  <c r="N829" i="1"/>
  <c r="I829" i="1"/>
  <c r="M1156" i="1"/>
  <c r="L1156" i="1"/>
  <c r="K1156" i="1"/>
  <c r="E1156" i="1"/>
  <c r="I724" i="1"/>
  <c r="N724" i="1"/>
  <c r="I842" i="1"/>
  <c r="N842" i="1"/>
  <c r="N1399" i="1"/>
  <c r="I1399" i="1"/>
  <c r="N1463" i="1"/>
  <c r="I1463" i="1"/>
  <c r="N747" i="1"/>
  <c r="I747" i="1"/>
  <c r="N149" i="1"/>
  <c r="I149" i="1"/>
  <c r="G810" i="1"/>
  <c r="E810" i="1"/>
  <c r="N70" i="1"/>
  <c r="I70" i="1"/>
  <c r="G723" i="1"/>
  <c r="E723" i="1"/>
  <c r="D723" i="1"/>
  <c r="E943" i="1"/>
  <c r="D943" i="1"/>
  <c r="E252" i="1"/>
  <c r="D252" i="1"/>
  <c r="N1080" i="1"/>
  <c r="I1080" i="1"/>
  <c r="N1037" i="1"/>
  <c r="I1037" i="1"/>
  <c r="M845" i="1"/>
  <c r="L845" i="1"/>
  <c r="K845" i="1"/>
  <c r="H845" i="1"/>
  <c r="G845" i="1"/>
  <c r="F845" i="1"/>
  <c r="E845" i="1"/>
  <c r="D845" i="1"/>
  <c r="M352" i="1"/>
  <c r="L352" i="1"/>
  <c r="K352" i="1"/>
  <c r="H352" i="1"/>
  <c r="G352" i="1"/>
  <c r="F352" i="1"/>
  <c r="E352" i="1"/>
  <c r="D352" i="1"/>
  <c r="E1217" i="1"/>
  <c r="N824" i="1"/>
  <c r="I824" i="1"/>
  <c r="E1216" i="1"/>
  <c r="D1216" i="1"/>
  <c r="N533" i="1"/>
  <c r="I533" i="1"/>
  <c r="N705" i="1"/>
  <c r="I705" i="1"/>
  <c r="M964" i="1"/>
  <c r="L964" i="1"/>
  <c r="K964" i="1"/>
  <c r="H964" i="1"/>
  <c r="G964" i="1"/>
  <c r="F964" i="1"/>
  <c r="E964" i="1"/>
  <c r="D964" i="1"/>
  <c r="L1043" i="1"/>
  <c r="G1043" i="1"/>
  <c r="E1043" i="1"/>
  <c r="M1439" i="1"/>
  <c r="L1439" i="1"/>
  <c r="K1439" i="1"/>
  <c r="G1439" i="1"/>
  <c r="E1439" i="1"/>
  <c r="G1057" i="1"/>
  <c r="E1057" i="1"/>
  <c r="D1057" i="1"/>
  <c r="G1218" i="1"/>
  <c r="E1218" i="1"/>
  <c r="M413" i="1"/>
  <c r="L413" i="1"/>
  <c r="K413" i="1"/>
  <c r="H413" i="1"/>
  <c r="G413" i="1"/>
  <c r="F413" i="1"/>
  <c r="E413" i="1"/>
  <c r="D413" i="1"/>
  <c r="M13" i="1"/>
  <c r="L13" i="1"/>
  <c r="K13" i="1"/>
  <c r="H13" i="1"/>
  <c r="G13" i="1"/>
  <c r="F13" i="1"/>
  <c r="E13" i="1"/>
  <c r="D13" i="1"/>
  <c r="M98" i="1"/>
  <c r="L98" i="1"/>
  <c r="K98" i="1"/>
  <c r="H98" i="1"/>
  <c r="G98" i="1"/>
  <c r="F98" i="1"/>
  <c r="E98" i="1"/>
  <c r="D98" i="1"/>
  <c r="E869" i="1"/>
  <c r="E415" i="1"/>
  <c r="N1425" i="1"/>
  <c r="I1425" i="1"/>
  <c r="N1115" i="1"/>
  <c r="I1115" i="1"/>
  <c r="E891" i="1"/>
  <c r="M414" i="1"/>
  <c r="L414" i="1"/>
  <c r="K414" i="1"/>
  <c r="H414" i="1"/>
  <c r="G414" i="1"/>
  <c r="F414" i="1"/>
  <c r="D414" i="1"/>
  <c r="G1083" i="1"/>
  <c r="E1083" i="1"/>
  <c r="L144" i="1"/>
  <c r="K144" i="1"/>
  <c r="H144" i="1"/>
  <c r="G144" i="1"/>
  <c r="F144" i="1"/>
  <c r="E144" i="1"/>
  <c r="D144" i="1"/>
  <c r="K1408" i="1"/>
  <c r="H1408" i="1"/>
  <c r="G1408" i="1"/>
  <c r="F1408" i="1"/>
  <c r="E1408" i="1"/>
  <c r="D1408" i="1"/>
  <c r="E1451" i="1"/>
  <c r="L310" i="1"/>
  <c r="E310" i="1"/>
  <c r="D310" i="1"/>
  <c r="M1221" i="1"/>
  <c r="L1221" i="1"/>
  <c r="K1221" i="1"/>
  <c r="H1221" i="1"/>
  <c r="G1221" i="1"/>
  <c r="F1221" i="1"/>
  <c r="E1221" i="1"/>
  <c r="D1221" i="1"/>
  <c r="M356" i="1"/>
  <c r="L356" i="1"/>
  <c r="K356" i="1"/>
  <c r="G356" i="1"/>
  <c r="E356" i="1"/>
  <c r="N1273" i="1"/>
  <c r="I1273" i="1"/>
  <c r="N683" i="1"/>
  <c r="I683" i="1"/>
  <c r="N1147" i="1"/>
  <c r="I1147" i="1"/>
  <c r="N1340" i="1"/>
  <c r="I1340" i="1"/>
  <c r="N1224" i="1"/>
  <c r="I1224" i="1"/>
  <c r="N650" i="1"/>
  <c r="I650" i="1"/>
  <c r="N1118" i="1"/>
  <c r="I1118" i="1"/>
  <c r="M25" i="1"/>
  <c r="L25" i="1"/>
  <c r="K25" i="1"/>
  <c r="E25" i="1"/>
  <c r="D25" i="1"/>
  <c r="M1316" i="1"/>
  <c r="L1316" i="1"/>
  <c r="K1316" i="1"/>
  <c r="H1316" i="1"/>
  <c r="G1316" i="1"/>
  <c r="F1316" i="1"/>
  <c r="E1316" i="1"/>
  <c r="D1316" i="1"/>
  <c r="N720" i="1"/>
  <c r="I720" i="1"/>
  <c r="N78" i="1"/>
  <c r="I78" i="1"/>
  <c r="N702" i="1"/>
  <c r="I702" i="1"/>
  <c r="N104" i="1"/>
  <c r="I104" i="1"/>
  <c r="M164" i="1"/>
  <c r="L164" i="1"/>
  <c r="K164" i="1"/>
  <c r="H164" i="1"/>
  <c r="G164" i="1"/>
  <c r="F164" i="1"/>
  <c r="E164" i="1"/>
  <c r="D164" i="1"/>
  <c r="I1049" i="1"/>
  <c r="N1049" i="1"/>
  <c r="N1040" i="1"/>
  <c r="I1040" i="1"/>
  <c r="M22" i="1"/>
  <c r="L22" i="1"/>
  <c r="K22" i="1"/>
  <c r="H22" i="1"/>
  <c r="G22" i="1"/>
  <c r="F22" i="1"/>
  <c r="D22" i="1"/>
  <c r="M525" i="1"/>
  <c r="L525" i="1"/>
  <c r="K525" i="1"/>
  <c r="H525" i="1"/>
  <c r="G525" i="1"/>
  <c r="F525" i="1"/>
  <c r="E525" i="1"/>
  <c r="D525" i="1"/>
  <c r="M1409" i="1"/>
  <c r="L1409" i="1"/>
  <c r="K1409" i="1"/>
  <c r="H1409" i="1"/>
  <c r="G1409" i="1"/>
  <c r="F1409" i="1"/>
  <c r="E1409" i="1"/>
  <c r="D1409" i="1"/>
  <c r="N1268" i="1"/>
  <c r="I1268" i="1"/>
  <c r="M37" i="1"/>
  <c r="L37" i="1"/>
  <c r="K37" i="1"/>
  <c r="H37" i="1"/>
  <c r="G37" i="1"/>
  <c r="F37" i="1"/>
  <c r="E37" i="1"/>
  <c r="D37" i="1"/>
  <c r="M21" i="1"/>
  <c r="L21" i="1"/>
  <c r="K21" i="1"/>
  <c r="H21" i="1"/>
  <c r="G21" i="1"/>
  <c r="F21" i="1"/>
  <c r="E21" i="1"/>
  <c r="D21" i="1"/>
  <c r="N907" i="1"/>
  <c r="I907" i="1"/>
  <c r="M1382" i="1"/>
  <c r="L1382" i="1"/>
  <c r="K1382" i="1"/>
  <c r="H1382" i="1"/>
  <c r="G1382" i="1"/>
  <c r="F1382" i="1"/>
  <c r="E1382" i="1"/>
  <c r="D1382" i="1"/>
  <c r="M1467" i="1"/>
  <c r="L1467" i="1"/>
  <c r="K1467" i="1"/>
  <c r="H1467" i="1"/>
  <c r="G1467" i="1"/>
  <c r="F1467" i="1"/>
  <c r="E1467" i="1"/>
  <c r="D1467" i="1"/>
  <c r="N1356" i="1"/>
  <c r="I1356" i="1"/>
  <c r="M922" i="1"/>
  <c r="L922" i="1"/>
  <c r="K922" i="1"/>
  <c r="H922" i="1"/>
  <c r="G922" i="1"/>
  <c r="F922" i="1"/>
  <c r="E922" i="1"/>
  <c r="D922" i="1"/>
  <c r="M685" i="1"/>
  <c r="L685" i="1"/>
  <c r="K685" i="1"/>
  <c r="H685" i="1"/>
  <c r="G685" i="1"/>
  <c r="F685" i="1"/>
  <c r="E685" i="1"/>
  <c r="D685" i="1"/>
  <c r="M1468" i="1"/>
  <c r="L1468" i="1"/>
  <c r="K1468" i="1"/>
  <c r="H1468" i="1"/>
  <c r="G1468" i="1"/>
  <c r="F1468" i="1"/>
  <c r="D1468" i="1"/>
  <c r="M1141" i="1"/>
  <c r="L1141" i="1"/>
  <c r="K1141" i="1"/>
  <c r="H1141" i="1"/>
  <c r="G1141" i="1"/>
  <c r="F1141" i="1"/>
  <c r="D1141" i="1"/>
  <c r="M1326" i="1"/>
  <c r="L1326" i="1"/>
  <c r="K1326" i="1"/>
  <c r="H1326" i="1"/>
  <c r="G1326" i="1"/>
  <c r="F1326" i="1"/>
  <c r="E1326" i="1"/>
  <c r="D1326" i="1"/>
  <c r="M1208" i="1"/>
  <c r="L1208" i="1"/>
  <c r="K1208" i="1"/>
  <c r="H1208" i="1"/>
  <c r="G1208" i="1"/>
  <c r="F1208" i="1"/>
  <c r="E1208" i="1"/>
  <c r="D1208" i="1"/>
  <c r="M808" i="1"/>
  <c r="L808" i="1"/>
  <c r="K808" i="1"/>
  <c r="H808" i="1"/>
  <c r="G808" i="1"/>
  <c r="F808" i="1"/>
  <c r="D808" i="1"/>
  <c r="N735" i="1"/>
  <c r="I735" i="1"/>
  <c r="M1351" i="1"/>
  <c r="L1351" i="1"/>
  <c r="K1351" i="1"/>
  <c r="H1351" i="1"/>
  <c r="G1351" i="1"/>
  <c r="F1351" i="1"/>
  <c r="E1351" i="1"/>
  <c r="D1351" i="1"/>
  <c r="M1123" i="1"/>
  <c r="L1123" i="1"/>
  <c r="K1123" i="1"/>
  <c r="H1123" i="1"/>
  <c r="G1123" i="1"/>
  <c r="F1123" i="1"/>
  <c r="E1123" i="1"/>
  <c r="D1123" i="1"/>
  <c r="M1247" i="1"/>
  <c r="L1247" i="1"/>
  <c r="K1247" i="1"/>
  <c r="H1247" i="1"/>
  <c r="G1247" i="1"/>
  <c r="F1247" i="1"/>
  <c r="E1247" i="1"/>
  <c r="G1031" i="1"/>
  <c r="D1031" i="1"/>
  <c r="N6" i="1"/>
  <c r="I6" i="1"/>
  <c r="M718" i="1"/>
  <c r="L718" i="1"/>
  <c r="K718" i="1"/>
  <c r="H718" i="1"/>
  <c r="G718" i="1"/>
  <c r="F718" i="1"/>
  <c r="E718" i="1"/>
  <c r="D718" i="1"/>
  <c r="G1011" i="1"/>
  <c r="E1011" i="1"/>
  <c r="D1011" i="1"/>
  <c r="L1168" i="1"/>
  <c r="G1168" i="1"/>
  <c r="E1168" i="1"/>
  <c r="D1168" i="1"/>
  <c r="E1401" i="1"/>
  <c r="N1199" i="1"/>
  <c r="I1199" i="1"/>
  <c r="N1169" i="1"/>
  <c r="I1169" i="1"/>
  <c r="E1304" i="1"/>
  <c r="N158" i="1"/>
  <c r="I158" i="1"/>
  <c r="N1329" i="1"/>
  <c r="I1329" i="1"/>
  <c r="N161" i="1"/>
  <c r="I161" i="1"/>
  <c r="I883" i="1"/>
  <c r="N883" i="1"/>
  <c r="H762" i="1"/>
  <c r="G762" i="1"/>
  <c r="F762" i="1"/>
  <c r="M1195" i="1"/>
  <c r="L1195" i="1"/>
  <c r="K1195" i="1"/>
  <c r="H1195" i="1"/>
  <c r="G1195" i="1"/>
  <c r="F1195" i="1"/>
  <c r="D1195" i="1"/>
  <c r="M1313" i="1"/>
  <c r="L1313" i="1"/>
  <c r="K1313" i="1"/>
  <c r="H1313" i="1"/>
  <c r="G1313" i="1"/>
  <c r="F1313" i="1"/>
  <c r="E1313" i="1"/>
  <c r="D1313" i="1"/>
  <c r="N761" i="1"/>
  <c r="I761" i="1"/>
  <c r="N255" i="1"/>
  <c r="I255" i="1"/>
  <c r="N1281" i="1"/>
  <c r="I1281" i="1"/>
  <c r="N1136" i="1"/>
  <c r="I1136" i="1"/>
  <c r="N661" i="1"/>
  <c r="I661" i="1"/>
  <c r="M450" i="1"/>
  <c r="L450" i="1"/>
  <c r="K450" i="1"/>
  <c r="H450" i="1"/>
  <c r="G450" i="1"/>
  <c r="F450" i="1"/>
  <c r="E450" i="1"/>
  <c r="D450" i="1"/>
  <c r="M1263" i="1"/>
  <c r="L1263" i="1"/>
  <c r="K1263" i="1"/>
  <c r="H1263" i="1"/>
  <c r="G1263" i="1"/>
  <c r="F1263" i="1"/>
  <c r="E1263" i="1"/>
  <c r="D1263" i="1"/>
  <c r="N660" i="1"/>
  <c r="I660" i="1"/>
  <c r="H764" i="1"/>
  <c r="G764" i="1"/>
  <c r="F764" i="1"/>
  <c r="E764" i="1"/>
  <c r="D764" i="1"/>
  <c r="N1300" i="1"/>
  <c r="I1300" i="1"/>
  <c r="D470" i="1"/>
  <c r="E1331" i="1"/>
  <c r="M757" i="1"/>
  <c r="L757" i="1"/>
  <c r="K757" i="1"/>
  <c r="H757" i="1"/>
  <c r="G757" i="1"/>
  <c r="F757" i="1"/>
  <c r="E757" i="1"/>
  <c r="D757" i="1"/>
  <c r="M657" i="1"/>
  <c r="L657" i="1"/>
  <c r="K657" i="1"/>
  <c r="H657" i="1"/>
  <c r="G657" i="1"/>
  <c r="F657" i="1"/>
  <c r="E657" i="1"/>
  <c r="D657" i="1"/>
  <c r="E663" i="1"/>
  <c r="G664" i="1"/>
  <c r="E664" i="1"/>
  <c r="D664" i="1"/>
  <c r="M142" i="1"/>
  <c r="L142" i="1"/>
  <c r="K142" i="1"/>
  <c r="H142" i="1"/>
  <c r="G142" i="1"/>
  <c r="F142" i="1"/>
  <c r="E142" i="1"/>
  <c r="D142" i="1"/>
  <c r="G316" i="1"/>
  <c r="E316" i="1"/>
  <c r="D316" i="1"/>
  <c r="H1003" i="1"/>
  <c r="G1003" i="1"/>
  <c r="F1003" i="1"/>
  <c r="E1003" i="1"/>
  <c r="D1003" i="1"/>
  <c r="N841" i="1"/>
  <c r="I841" i="1"/>
  <c r="H837" i="1"/>
  <c r="G837" i="1"/>
  <c r="E837" i="1"/>
  <c r="M667" i="1"/>
  <c r="L667" i="1"/>
  <c r="K667" i="1"/>
  <c r="H667" i="1"/>
  <c r="G667" i="1"/>
  <c r="F667" i="1"/>
  <c r="E667" i="1"/>
  <c r="D667" i="1"/>
  <c r="D698" i="1"/>
  <c r="M1276" i="1"/>
  <c r="L1276" i="1"/>
  <c r="K1276" i="1"/>
  <c r="H1276" i="1"/>
  <c r="G1276" i="1"/>
  <c r="F1276" i="1"/>
  <c r="D1276" i="1"/>
  <c r="M163" i="1"/>
  <c r="L163" i="1"/>
  <c r="K163" i="1"/>
  <c r="H163" i="1"/>
  <c r="G163" i="1"/>
  <c r="F163" i="1"/>
  <c r="E163" i="1"/>
  <c r="D163" i="1"/>
  <c r="M1189" i="1"/>
  <c r="L1189" i="1"/>
  <c r="K1189" i="1"/>
  <c r="E1189" i="1"/>
  <c r="M323" i="1"/>
  <c r="L323" i="1"/>
  <c r="K323" i="1"/>
  <c r="H323" i="1"/>
  <c r="G323" i="1"/>
  <c r="F323" i="1"/>
  <c r="E323" i="1"/>
  <c r="D323" i="1"/>
  <c r="G367" i="1"/>
  <c r="E367" i="1"/>
  <c r="M1158" i="1"/>
  <c r="L1158" i="1"/>
  <c r="K1158" i="1"/>
  <c r="E1159" i="1"/>
  <c r="M1510" i="1"/>
  <c r="L1510" i="1"/>
  <c r="K1510" i="1"/>
  <c r="N803" i="1"/>
  <c r="I803" i="1"/>
  <c r="E1265" i="1"/>
  <c r="G118" i="1"/>
  <c r="M1559" i="1"/>
  <c r="L1559" i="1"/>
  <c r="K1559" i="1"/>
  <c r="M1539" i="1"/>
  <c r="L1539" i="1"/>
  <c r="K1539" i="1"/>
  <c r="M1509" i="1"/>
  <c r="L1509" i="1"/>
  <c r="K1509" i="1"/>
  <c r="M1504" i="1"/>
  <c r="L1504" i="1"/>
  <c r="K1504" i="1"/>
  <c r="M1491" i="1"/>
  <c r="L1491" i="1"/>
  <c r="K1491" i="1"/>
  <c r="M1489" i="1"/>
  <c r="L1489" i="1"/>
  <c r="K1489" i="1"/>
  <c r="M1483" i="1"/>
  <c r="L1483" i="1"/>
  <c r="K1483" i="1"/>
  <c r="M1479" i="1"/>
  <c r="L1479" i="1"/>
  <c r="K1479" i="1"/>
  <c r="M1470" i="1"/>
  <c r="L1470" i="1"/>
  <c r="K1470" i="1"/>
  <c r="M1469" i="1"/>
  <c r="L1469" i="1"/>
  <c r="K1469" i="1"/>
  <c r="M1447" i="1"/>
  <c r="L1447" i="1"/>
  <c r="K1447" i="1"/>
  <c r="M1406" i="1"/>
  <c r="L1406" i="1"/>
  <c r="K1406" i="1"/>
  <c r="M1397" i="1"/>
  <c r="L1397" i="1"/>
  <c r="K1397" i="1"/>
  <c r="M1394" i="1"/>
  <c r="L1394" i="1"/>
  <c r="K1394" i="1"/>
  <c r="M1383" i="1"/>
  <c r="L1383" i="1"/>
  <c r="K1383" i="1"/>
  <c r="M1359" i="1"/>
  <c r="L1359" i="1"/>
  <c r="K1359" i="1"/>
  <c r="M1357" i="1"/>
  <c r="L1357" i="1"/>
  <c r="K1357" i="1"/>
  <c r="M1350" i="1"/>
  <c r="L1350" i="1"/>
  <c r="K1350" i="1"/>
  <c r="M1338" i="1"/>
  <c r="L1338" i="1"/>
  <c r="K1338" i="1"/>
  <c r="M1305" i="1"/>
  <c r="K1305" i="1"/>
  <c r="M1302" i="1"/>
  <c r="L1302" i="1"/>
  <c r="K1302" i="1"/>
  <c r="M1296" i="1"/>
  <c r="L1296" i="1"/>
  <c r="K1296" i="1"/>
  <c r="M1292" i="1"/>
  <c r="L1292" i="1"/>
  <c r="K1292" i="1"/>
  <c r="M1283" i="1"/>
  <c r="L1283" i="1"/>
  <c r="K1283" i="1"/>
  <c r="M1269" i="1"/>
  <c r="L1269" i="1"/>
  <c r="K1269" i="1"/>
  <c r="M1261" i="1"/>
  <c r="L1261" i="1"/>
  <c r="K1261" i="1"/>
  <c r="M1250" i="1"/>
  <c r="L1250" i="1"/>
  <c r="K1250" i="1"/>
  <c r="M1245" i="1"/>
  <c r="L1245" i="1"/>
  <c r="K1245" i="1"/>
  <c r="M1212" i="1"/>
  <c r="L1212" i="1"/>
  <c r="K1212" i="1"/>
  <c r="M1210" i="1"/>
  <c r="L1210" i="1"/>
  <c r="K1210" i="1"/>
  <c r="M1194" i="1"/>
  <c r="L1194" i="1"/>
  <c r="K1194" i="1"/>
  <c r="M1187" i="1"/>
  <c r="L1187" i="1"/>
  <c r="K1187" i="1"/>
  <c r="M1137" i="1"/>
  <c r="L1137" i="1"/>
  <c r="K1137" i="1"/>
  <c r="M1134" i="1"/>
  <c r="L1134" i="1"/>
  <c r="K1134" i="1"/>
  <c r="M1078" i="1"/>
  <c r="L1078" i="1"/>
  <c r="K1078" i="1"/>
  <c r="M1051" i="1"/>
  <c r="L1051" i="1"/>
  <c r="K1051" i="1"/>
  <c r="M1016" i="1"/>
  <c r="L1016" i="1"/>
  <c r="K1016" i="1"/>
  <c r="M1015" i="1"/>
  <c r="L1015" i="1"/>
  <c r="K1015" i="1"/>
  <c r="M966" i="1"/>
  <c r="L966" i="1"/>
  <c r="K966" i="1"/>
  <c r="M959" i="1"/>
  <c r="L959" i="1"/>
  <c r="K959" i="1"/>
  <c r="M940" i="1"/>
  <c r="L940" i="1"/>
  <c r="K940" i="1"/>
  <c r="M916" i="1"/>
  <c r="L916" i="1"/>
  <c r="K916" i="1"/>
  <c r="L909" i="1"/>
  <c r="M857" i="1"/>
  <c r="L857" i="1"/>
  <c r="K857" i="1"/>
  <c r="M831" i="1"/>
  <c r="L831" i="1"/>
  <c r="K831" i="1"/>
  <c r="M815" i="1"/>
  <c r="L815" i="1"/>
  <c r="K815" i="1"/>
  <c r="M806" i="1"/>
  <c r="L806" i="1"/>
  <c r="K806" i="1"/>
  <c r="M790" i="1"/>
  <c r="L790" i="1"/>
  <c r="K790" i="1"/>
  <c r="M753" i="1"/>
  <c r="L753" i="1"/>
  <c r="K753" i="1"/>
  <c r="M750" i="1"/>
  <c r="L750" i="1"/>
  <c r="K750" i="1"/>
  <c r="M749" i="1"/>
  <c r="L749" i="1"/>
  <c r="K749" i="1"/>
  <c r="M726" i="1"/>
  <c r="L726" i="1"/>
  <c r="K726" i="1"/>
  <c r="L698" i="1"/>
  <c r="M666" i="1"/>
  <c r="L666" i="1"/>
  <c r="K666" i="1"/>
  <c r="M659" i="1"/>
  <c r="L659" i="1"/>
  <c r="K659" i="1"/>
  <c r="M648" i="1"/>
  <c r="L648" i="1"/>
  <c r="K648" i="1"/>
  <c r="M620" i="1"/>
  <c r="L620" i="1"/>
  <c r="K620" i="1"/>
  <c r="M616" i="1"/>
  <c r="K616" i="1"/>
  <c r="M604" i="1"/>
  <c r="L604" i="1"/>
  <c r="K604" i="1"/>
  <c r="M602" i="1"/>
  <c r="L602" i="1"/>
  <c r="K602" i="1"/>
  <c r="M603" i="1"/>
  <c r="L603" i="1"/>
  <c r="K603" i="1"/>
  <c r="M535" i="1"/>
  <c r="L535" i="1"/>
  <c r="K535" i="1"/>
  <c r="M534" i="1"/>
  <c r="L534" i="1"/>
  <c r="K534" i="1"/>
  <c r="M523" i="1"/>
  <c r="L523" i="1"/>
  <c r="K523" i="1"/>
  <c r="M476" i="1"/>
  <c r="L476" i="1"/>
  <c r="K476" i="1"/>
  <c r="M474" i="1"/>
  <c r="L474" i="1"/>
  <c r="K474" i="1"/>
  <c r="M453" i="1"/>
  <c r="L453" i="1"/>
  <c r="K453" i="1"/>
  <c r="M367" i="1"/>
  <c r="L367" i="1"/>
  <c r="K367" i="1"/>
  <c r="M336" i="1"/>
  <c r="L336" i="1"/>
  <c r="K336" i="1"/>
  <c r="M309" i="1"/>
  <c r="L309" i="1"/>
  <c r="K309" i="1"/>
  <c r="M303" i="1"/>
  <c r="L303" i="1"/>
  <c r="K303" i="1"/>
  <c r="M296" i="1"/>
  <c r="L296" i="1"/>
  <c r="K296" i="1"/>
  <c r="M277" i="1"/>
  <c r="L277" i="1"/>
  <c r="K277" i="1"/>
  <c r="M257" i="1"/>
  <c r="L257" i="1"/>
  <c r="K257" i="1"/>
  <c r="M242" i="1"/>
  <c r="L242" i="1"/>
  <c r="K242" i="1"/>
  <c r="M208" i="1"/>
  <c r="L208" i="1"/>
  <c r="K208" i="1"/>
  <c r="M178" i="1"/>
  <c r="L178" i="1"/>
  <c r="K178" i="1"/>
  <c r="M127" i="1"/>
  <c r="L127" i="1"/>
  <c r="K127" i="1"/>
  <c r="M110" i="1"/>
  <c r="L110" i="1"/>
  <c r="K110" i="1"/>
  <c r="M109" i="1"/>
  <c r="L109" i="1"/>
  <c r="K109" i="1"/>
  <c r="M59" i="1"/>
  <c r="L59" i="1"/>
  <c r="K59" i="1"/>
  <c r="M39" i="1"/>
  <c r="L39" i="1"/>
  <c r="K39" i="1"/>
  <c r="M38" i="1"/>
  <c r="L38" i="1"/>
  <c r="K38" i="1"/>
  <c r="M26" i="1"/>
  <c r="L26" i="1"/>
  <c r="K26" i="1"/>
  <c r="I649" i="1" l="1"/>
  <c r="N1470" i="1"/>
  <c r="H1559" i="1"/>
  <c r="G1559" i="1"/>
  <c r="F1559" i="1"/>
  <c r="H1539" i="1"/>
  <c r="G1539" i="1"/>
  <c r="F1539" i="1"/>
  <c r="H1509" i="1"/>
  <c r="G1509" i="1"/>
  <c r="F1509" i="1"/>
  <c r="H1504" i="1"/>
  <c r="G1504" i="1"/>
  <c r="F1504" i="1"/>
  <c r="H1489" i="1"/>
  <c r="G1489" i="1"/>
  <c r="F1489" i="1"/>
  <c r="H1483" i="1"/>
  <c r="G1483" i="1"/>
  <c r="F1483" i="1"/>
  <c r="H1479" i="1"/>
  <c r="G1479" i="1"/>
  <c r="F1479" i="1"/>
  <c r="H1470" i="1"/>
  <c r="G1470" i="1"/>
  <c r="F1470" i="1"/>
  <c r="H1469" i="1"/>
  <c r="G1469" i="1"/>
  <c r="F1469" i="1"/>
  <c r="H1447" i="1"/>
  <c r="G1447" i="1"/>
  <c r="F1447" i="1"/>
  <c r="H1406" i="1"/>
  <c r="G1406" i="1"/>
  <c r="F1406" i="1"/>
  <c r="H1397" i="1"/>
  <c r="G1397" i="1"/>
  <c r="F1397" i="1"/>
  <c r="H1394" i="1"/>
  <c r="G1394" i="1"/>
  <c r="F1394" i="1"/>
  <c r="H1383" i="1"/>
  <c r="G1383" i="1"/>
  <c r="F1383" i="1"/>
  <c r="H1357" i="1"/>
  <c r="G1357" i="1"/>
  <c r="F1357" i="1"/>
  <c r="H1350" i="1"/>
  <c r="G1350" i="1"/>
  <c r="F1350" i="1"/>
  <c r="H1338" i="1"/>
  <c r="G1338" i="1"/>
  <c r="F1338" i="1"/>
  <c r="H1319" i="1"/>
  <c r="G1319" i="1"/>
  <c r="F1319" i="1"/>
  <c r="H1311" i="1"/>
  <c r="G1311" i="1"/>
  <c r="F1311" i="1"/>
  <c r="H1305" i="1"/>
  <c r="G1305" i="1"/>
  <c r="F1305" i="1"/>
  <c r="H1302" i="1"/>
  <c r="G1302" i="1"/>
  <c r="F1302" i="1"/>
  <c r="H1296" i="1"/>
  <c r="G1296" i="1"/>
  <c r="F1296" i="1"/>
  <c r="H1292" i="1"/>
  <c r="G1292" i="1"/>
  <c r="F1292" i="1"/>
  <c r="H1283" i="1"/>
  <c r="G1283" i="1"/>
  <c r="F1283" i="1"/>
  <c r="H1269" i="1"/>
  <c r="G1269" i="1"/>
  <c r="F1269" i="1"/>
  <c r="H1261" i="1"/>
  <c r="G1261" i="1"/>
  <c r="F1261" i="1"/>
  <c r="H1245" i="1"/>
  <c r="G1245" i="1"/>
  <c r="F1245" i="1"/>
  <c r="H1243" i="1"/>
  <c r="G1243" i="1"/>
  <c r="F1243" i="1"/>
  <c r="H1222" i="1"/>
  <c r="G1222" i="1"/>
  <c r="F1222" i="1"/>
  <c r="H1212" i="1"/>
  <c r="G1212" i="1"/>
  <c r="F1212" i="1"/>
  <c r="H1210" i="1"/>
  <c r="G1210" i="1"/>
  <c r="F1210" i="1"/>
  <c r="H1194" i="1"/>
  <c r="G1194" i="1"/>
  <c r="F1194" i="1"/>
  <c r="H1187" i="1"/>
  <c r="G1187" i="1"/>
  <c r="F1187" i="1"/>
  <c r="H1137" i="1"/>
  <c r="G1137" i="1"/>
  <c r="F1137" i="1"/>
  <c r="H1134" i="1"/>
  <c r="G1134" i="1"/>
  <c r="F1134" i="1"/>
  <c r="H1078" i="1"/>
  <c r="G1078" i="1"/>
  <c r="F1078" i="1"/>
  <c r="F1051" i="1"/>
  <c r="H1051" i="1"/>
  <c r="G1051" i="1"/>
  <c r="H1016" i="1"/>
  <c r="G1016" i="1"/>
  <c r="F1016" i="1"/>
  <c r="H1015" i="1"/>
  <c r="G1015" i="1"/>
  <c r="F1015" i="1"/>
  <c r="H966" i="1"/>
  <c r="G966" i="1"/>
  <c r="F966" i="1"/>
  <c r="H959" i="1"/>
  <c r="G959" i="1"/>
  <c r="F959" i="1"/>
  <c r="H940" i="1"/>
  <c r="G940" i="1"/>
  <c r="F940" i="1"/>
  <c r="H916" i="1"/>
  <c r="G916" i="1"/>
  <c r="F916" i="1"/>
  <c r="H890" i="1"/>
  <c r="G890" i="1"/>
  <c r="F890" i="1"/>
  <c r="H885" i="1"/>
  <c r="G885" i="1"/>
  <c r="F885" i="1"/>
  <c r="H857" i="1"/>
  <c r="G857" i="1"/>
  <c r="F857" i="1"/>
  <c r="H831" i="1"/>
  <c r="G831" i="1"/>
  <c r="F831" i="1"/>
  <c r="H815" i="1"/>
  <c r="G815" i="1"/>
  <c r="F815" i="1"/>
  <c r="H806" i="1"/>
  <c r="G806" i="1"/>
  <c r="F806" i="1"/>
  <c r="H790" i="1"/>
  <c r="G790" i="1"/>
  <c r="F790" i="1"/>
  <c r="H753" i="1"/>
  <c r="G753" i="1"/>
  <c r="F753" i="1"/>
  <c r="H750" i="1"/>
  <c r="G750" i="1"/>
  <c r="F750" i="1"/>
  <c r="H749" i="1"/>
  <c r="G749" i="1"/>
  <c r="F749" i="1"/>
  <c r="H726" i="1"/>
  <c r="G726" i="1"/>
  <c r="F726" i="1"/>
  <c r="H666" i="1"/>
  <c r="G666" i="1"/>
  <c r="F666" i="1"/>
  <c r="J659" i="1"/>
  <c r="H659" i="1"/>
  <c r="G659" i="1"/>
  <c r="F659" i="1"/>
  <c r="H648" i="1"/>
  <c r="G648" i="1"/>
  <c r="F648" i="1"/>
  <c r="J620" i="1"/>
  <c r="H620" i="1"/>
  <c r="G620" i="1"/>
  <c r="F620" i="1"/>
  <c r="H616" i="1"/>
  <c r="G616" i="1"/>
  <c r="F616" i="1"/>
  <c r="H604" i="1"/>
  <c r="G604" i="1"/>
  <c r="F604" i="1"/>
  <c r="H602" i="1"/>
  <c r="G602" i="1"/>
  <c r="F602" i="1"/>
  <c r="H603" i="1"/>
  <c r="G603" i="1"/>
  <c r="F603" i="1"/>
  <c r="H535" i="1"/>
  <c r="G535" i="1"/>
  <c r="F535" i="1"/>
  <c r="H534" i="1"/>
  <c r="G534" i="1"/>
  <c r="F534" i="1"/>
  <c r="N525" i="1"/>
  <c r="H524" i="1"/>
  <c r="G524" i="1"/>
  <c r="F524" i="1"/>
  <c r="H523" i="1"/>
  <c r="G523" i="1"/>
  <c r="F523" i="1"/>
  <c r="H476" i="1"/>
  <c r="G476" i="1"/>
  <c r="F476" i="1"/>
  <c r="J474" i="1"/>
  <c r="H474" i="1"/>
  <c r="G474" i="1"/>
  <c r="F474" i="1"/>
  <c r="H453" i="1"/>
  <c r="G453" i="1"/>
  <c r="F453" i="1"/>
  <c r="H452" i="1"/>
  <c r="F452" i="1"/>
  <c r="G452" i="1"/>
  <c r="H437" i="1"/>
  <c r="G437" i="1"/>
  <c r="F437" i="1"/>
  <c r="I1351" i="1" l="1"/>
  <c r="I525" i="1"/>
  <c r="H336" i="1"/>
  <c r="G336" i="1"/>
  <c r="F336" i="1"/>
  <c r="H309" i="1"/>
  <c r="G309" i="1"/>
  <c r="F309" i="1"/>
  <c r="H303" i="1"/>
  <c r="G303" i="1"/>
  <c r="F303" i="1"/>
  <c r="H296" i="1"/>
  <c r="G296" i="1"/>
  <c r="F296" i="1"/>
  <c r="H277" i="1"/>
  <c r="G277" i="1"/>
  <c r="F277" i="1"/>
  <c r="H257" i="1"/>
  <c r="G257" i="1"/>
  <c r="F257" i="1"/>
  <c r="H242" i="1"/>
  <c r="G242" i="1"/>
  <c r="F242" i="1"/>
  <c r="H208" i="1"/>
  <c r="G208" i="1"/>
  <c r="F208" i="1"/>
  <c r="H178" i="1"/>
  <c r="G178" i="1"/>
  <c r="F178" i="1"/>
  <c r="H127" i="1"/>
  <c r="G127" i="1"/>
  <c r="F127" i="1"/>
  <c r="H110" i="1"/>
  <c r="G110" i="1"/>
  <c r="F110" i="1"/>
  <c r="H109" i="1"/>
  <c r="G109" i="1"/>
  <c r="F109" i="1"/>
  <c r="H71" i="1"/>
  <c r="G71" i="1"/>
  <c r="F71" i="1"/>
  <c r="H59" i="1"/>
  <c r="G59" i="1"/>
  <c r="F59" i="1"/>
  <c r="H39" i="1"/>
  <c r="G39" i="1"/>
  <c r="F39" i="1"/>
  <c r="H38" i="1"/>
  <c r="G38" i="1"/>
  <c r="F38" i="1"/>
  <c r="H26" i="1"/>
  <c r="G26" i="1"/>
  <c r="F26" i="1"/>
  <c r="N1559" i="1"/>
  <c r="I1559" i="1"/>
  <c r="E1559" i="1"/>
  <c r="D1559" i="1"/>
  <c r="E1539" i="1"/>
  <c r="D1539" i="1"/>
  <c r="E1510" i="1"/>
  <c r="D1509" i="1"/>
  <c r="N1504" i="1"/>
  <c r="I1504" i="1"/>
  <c r="E1504" i="1"/>
  <c r="D1504" i="1"/>
  <c r="N1491" i="1"/>
  <c r="I1491" i="1"/>
  <c r="E1491" i="1"/>
  <c r="D1491" i="1"/>
  <c r="N1489" i="1"/>
  <c r="I1489" i="1"/>
  <c r="E1489" i="1"/>
  <c r="D1489" i="1"/>
  <c r="D1486" i="1"/>
  <c r="D1483" i="1"/>
  <c r="N1479" i="1"/>
  <c r="I1479" i="1"/>
  <c r="E1479" i="1"/>
  <c r="D1479" i="1"/>
  <c r="I1470" i="1"/>
  <c r="E1470" i="1"/>
  <c r="D1470" i="1"/>
  <c r="D1469" i="1"/>
  <c r="E1468" i="1"/>
  <c r="N1462" i="1"/>
  <c r="I1462" i="1"/>
  <c r="D1447" i="1"/>
  <c r="N1439" i="1"/>
  <c r="I1439" i="1"/>
  <c r="N1414" i="1"/>
  <c r="I1414" i="1"/>
  <c r="E1414" i="1"/>
  <c r="D1414" i="1"/>
  <c r="N1409" i="1"/>
  <c r="I1409" i="1"/>
  <c r="N1406" i="1"/>
  <c r="I1406" i="1"/>
  <c r="D1406" i="1"/>
  <c r="N1401" i="1"/>
  <c r="I1401" i="1"/>
  <c r="N1397" i="1"/>
  <c r="I1397" i="1"/>
  <c r="E1397" i="1"/>
  <c r="D1397" i="1"/>
  <c r="N1394" i="1"/>
  <c r="I1394" i="1"/>
  <c r="E1394" i="1"/>
  <c r="D1394" i="1"/>
  <c r="E1383" i="1"/>
  <c r="D1383" i="1"/>
  <c r="N1382" i="1"/>
  <c r="I1382" i="1"/>
  <c r="N1359" i="1"/>
  <c r="I1359" i="1"/>
  <c r="E1359" i="1"/>
  <c r="D1359" i="1"/>
  <c r="E1357" i="1"/>
  <c r="D1357" i="1"/>
  <c r="N1350" i="1"/>
  <c r="I1350" i="1"/>
  <c r="E1350" i="1"/>
  <c r="D1350" i="1"/>
  <c r="N1339" i="1"/>
  <c r="I1339" i="1"/>
  <c r="D1338" i="1"/>
  <c r="N1334" i="1"/>
  <c r="I1334" i="1"/>
  <c r="E1334" i="1"/>
  <c r="D1334" i="1"/>
  <c r="N1319" i="1"/>
  <c r="I1319" i="1"/>
  <c r="E1319" i="1"/>
  <c r="D1319" i="1"/>
  <c r="N1316" i="1"/>
  <c r="I1316" i="1"/>
  <c r="N1311" i="1"/>
  <c r="I1311" i="1"/>
  <c r="E1311" i="1"/>
  <c r="D1311" i="1"/>
  <c r="N1305" i="1"/>
  <c r="I1305" i="1"/>
  <c r="E1305" i="1"/>
  <c r="D1305" i="1"/>
  <c r="N1302" i="1"/>
  <c r="I1302" i="1"/>
  <c r="E1302" i="1"/>
  <c r="D1302" i="1"/>
  <c r="E1296" i="1"/>
  <c r="D1296" i="1"/>
  <c r="E1295" i="1"/>
  <c r="N1292" i="1"/>
  <c r="I1292" i="1"/>
  <c r="E1292" i="1"/>
  <c r="D1292" i="1"/>
  <c r="D1283" i="1"/>
  <c r="D1269" i="1"/>
  <c r="N1261" i="1"/>
  <c r="I1261" i="1"/>
  <c r="E1261" i="1"/>
  <c r="D1261" i="1"/>
  <c r="N1257" i="1"/>
  <c r="I1257" i="1"/>
  <c r="I1566" i="1"/>
  <c r="N1566" i="1"/>
  <c r="N1250" i="1"/>
  <c r="I1250" i="1"/>
  <c r="E1250" i="1"/>
  <c r="D1250" i="1"/>
  <c r="N1245" i="1"/>
  <c r="I1245" i="1"/>
  <c r="E1245" i="1"/>
  <c r="D1245" i="1"/>
  <c r="E1243" i="1"/>
  <c r="D1243" i="1"/>
  <c r="N1225" i="1"/>
  <c r="N1222" i="1"/>
  <c r="I1225" i="1"/>
  <c r="I1222" i="1"/>
  <c r="E1222" i="1"/>
  <c r="D1222" i="1"/>
  <c r="N1221" i="1"/>
  <c r="I1221" i="1"/>
  <c r="E1212" i="1"/>
  <c r="D1212" i="1"/>
  <c r="E1211" i="1"/>
  <c r="N1210" i="1"/>
  <c r="I1210" i="1"/>
  <c r="E1210" i="1"/>
  <c r="D1210" i="1"/>
  <c r="E1194" i="1"/>
  <c r="D1194" i="1"/>
  <c r="N1187" i="1"/>
  <c r="I1187" i="1"/>
  <c r="E1187" i="1"/>
  <c r="D1187" i="1"/>
  <c r="N1146" i="1"/>
  <c r="I1146" i="1"/>
  <c r="E1158" i="1"/>
  <c r="N1141" i="1"/>
  <c r="I1141" i="1"/>
  <c r="E1141" i="1"/>
  <c r="N1137" i="1"/>
  <c r="I1137" i="1"/>
  <c r="E1137" i="1"/>
  <c r="D1137" i="1"/>
  <c r="N1134" i="1"/>
  <c r="I1134" i="1"/>
  <c r="E1134" i="1"/>
  <c r="D1134" i="1"/>
  <c r="E1078" i="1"/>
  <c r="D1078" i="1"/>
  <c r="E1051" i="1"/>
  <c r="D1051" i="1"/>
  <c r="N1031" i="1"/>
  <c r="I1031" i="1"/>
  <c r="E1031" i="1"/>
  <c r="N1016" i="1"/>
  <c r="I1016" i="1"/>
  <c r="E1016" i="1"/>
  <c r="D1016" i="1"/>
  <c r="N1015" i="1"/>
  <c r="I1015" i="1"/>
  <c r="E1015" i="1"/>
  <c r="D1015" i="1"/>
  <c r="N1010" i="1"/>
  <c r="I1010" i="1"/>
  <c r="D966" i="1"/>
  <c r="N964" i="1"/>
  <c r="I964" i="1"/>
  <c r="E959" i="1"/>
  <c r="D959" i="1"/>
  <c r="N943" i="1"/>
  <c r="I943" i="1"/>
  <c r="N940" i="1"/>
  <c r="I940" i="1"/>
  <c r="E940" i="1"/>
  <c r="D940" i="1"/>
  <c r="N922" i="1"/>
  <c r="I922" i="1"/>
  <c r="D917" i="1"/>
  <c r="E916" i="1"/>
  <c r="D916" i="1"/>
  <c r="N890" i="1"/>
  <c r="I890" i="1"/>
  <c r="E890" i="1"/>
  <c r="D890" i="1"/>
  <c r="N885" i="1"/>
  <c r="I885" i="1"/>
  <c r="E885" i="1"/>
  <c r="D885" i="1"/>
  <c r="N857" i="1"/>
  <c r="I857" i="1"/>
  <c r="E857" i="1"/>
  <c r="D857" i="1"/>
  <c r="N837" i="1"/>
  <c r="I837" i="1"/>
  <c r="N831" i="1"/>
  <c r="I831" i="1"/>
  <c r="E831" i="1"/>
  <c r="D831" i="1"/>
  <c r="E815" i="1"/>
  <c r="D815" i="1"/>
  <c r="E808" i="1"/>
  <c r="E806" i="1"/>
  <c r="D806" i="1"/>
  <c r="N790" i="1"/>
  <c r="I790" i="1"/>
  <c r="E790" i="1"/>
  <c r="D790" i="1"/>
  <c r="N764" i="1"/>
  <c r="I764" i="1"/>
  <c r="N762" i="1"/>
  <c r="I762" i="1"/>
  <c r="E762" i="1"/>
  <c r="D762" i="1"/>
  <c r="E753" i="1"/>
  <c r="D753" i="1"/>
  <c r="N750" i="1"/>
  <c r="I750" i="1"/>
  <c r="E750" i="1"/>
  <c r="D750" i="1"/>
  <c r="N749" i="1"/>
  <c r="I749" i="1"/>
  <c r="E749" i="1"/>
  <c r="D749" i="1"/>
  <c r="N726" i="1"/>
  <c r="I726" i="1"/>
  <c r="E726" i="1"/>
  <c r="D726" i="1"/>
  <c r="N723" i="1"/>
  <c r="I723" i="1"/>
  <c r="E711" i="1"/>
  <c r="D711" i="1"/>
  <c r="N698" i="1"/>
  <c r="I698" i="1"/>
  <c r="E698" i="1"/>
  <c r="N666" i="1"/>
  <c r="I666" i="1"/>
  <c r="E666" i="1"/>
  <c r="D666" i="1"/>
  <c r="N662" i="1"/>
  <c r="I662" i="1"/>
  <c r="E662" i="1"/>
  <c r="N659" i="1"/>
  <c r="I659" i="1"/>
  <c r="E659" i="1"/>
  <c r="D659" i="1"/>
  <c r="E648" i="1"/>
  <c r="D648" i="1"/>
  <c r="E641" i="1"/>
  <c r="N620" i="1"/>
  <c r="I620" i="1"/>
  <c r="E620" i="1"/>
  <c r="D620" i="1"/>
  <c r="E616" i="1"/>
  <c r="D616" i="1"/>
  <c r="D615" i="1"/>
  <c r="N604" i="1"/>
  <c r="I604" i="1"/>
  <c r="E604" i="1"/>
  <c r="D604" i="1"/>
  <c r="N602" i="1"/>
  <c r="I602" i="1"/>
  <c r="E602" i="1"/>
  <c r="D602" i="1"/>
  <c r="E603" i="1"/>
  <c r="D603" i="1"/>
  <c r="E535" i="1"/>
  <c r="D535" i="1"/>
  <c r="E534" i="1"/>
  <c r="D534" i="1"/>
  <c r="N524" i="1"/>
  <c r="I524" i="1"/>
  <c r="E524" i="1"/>
  <c r="D524" i="1"/>
  <c r="E523" i="1"/>
  <c r="D523" i="1"/>
  <c r="D476" i="1"/>
  <c r="N474" i="1"/>
  <c r="I474" i="1"/>
  <c r="E474" i="1"/>
  <c r="D474" i="1"/>
  <c r="N473" i="1"/>
  <c r="I473" i="1"/>
  <c r="N471" i="1"/>
  <c r="I471" i="1"/>
  <c r="E471" i="1"/>
  <c r="D471" i="1"/>
  <c r="N453" i="1"/>
  <c r="I453" i="1"/>
  <c r="E453" i="1"/>
  <c r="D453" i="1"/>
  <c r="D452" i="1"/>
  <c r="E437" i="1"/>
  <c r="D437" i="1"/>
  <c r="N390" i="1"/>
  <c r="I390" i="1"/>
  <c r="N352" i="1"/>
  <c r="D336" i="1"/>
  <c r="N322" i="1"/>
  <c r="N316" i="1"/>
  <c r="D309" i="1"/>
  <c r="N303" i="1"/>
  <c r="E303" i="1"/>
  <c r="D303" i="1"/>
  <c r="N296" i="1"/>
  <c r="E296" i="1"/>
  <c r="D296" i="1"/>
  <c r="D277" i="1"/>
  <c r="N257" i="1"/>
  <c r="E257" i="1"/>
  <c r="D257" i="1"/>
  <c r="D242" i="1"/>
  <c r="N208" i="1"/>
  <c r="E208" i="1"/>
  <c r="D208" i="1"/>
  <c r="N178" i="1"/>
  <c r="D178" i="1"/>
  <c r="E178" i="1"/>
  <c r="N163" i="1"/>
  <c r="N142" i="1"/>
  <c r="D127" i="1"/>
  <c r="E118" i="1"/>
  <c r="N118" i="1"/>
  <c r="N110" i="1"/>
  <c r="E110" i="1"/>
  <c r="D110" i="1"/>
  <c r="N99" i="1"/>
  <c r="D109" i="1"/>
  <c r="N71" i="1"/>
  <c r="E71" i="1"/>
  <c r="D71" i="1"/>
  <c r="D59" i="1"/>
  <c r="N44" i="1"/>
  <c r="D39" i="1"/>
  <c r="D38" i="1"/>
  <c r="N37" i="1"/>
  <c r="N26" i="1"/>
  <c r="E26" i="1"/>
  <c r="D26" i="1"/>
  <c r="N25" i="1"/>
  <c r="I25" i="1"/>
  <c r="N22" i="1"/>
  <c r="E22" i="1"/>
  <c r="N21" i="1"/>
  <c r="N116" i="1"/>
  <c r="M917" i="1"/>
  <c r="M1466" i="1"/>
  <c r="L1466" i="1"/>
  <c r="K1466" i="1"/>
  <c r="M1465" i="1"/>
  <c r="L1465" i="1"/>
  <c r="K1465" i="1"/>
  <c r="M1450" i="1"/>
  <c r="L1450" i="1"/>
  <c r="K1450" i="1"/>
  <c r="M1424" i="1"/>
  <c r="L1424" i="1"/>
  <c r="K1424" i="1"/>
  <c r="M1403" i="1"/>
  <c r="L1403" i="1"/>
  <c r="K1403" i="1"/>
  <c r="M1402" i="1"/>
  <c r="L1402" i="1"/>
  <c r="K1402" i="1"/>
  <c r="M1398" i="1"/>
  <c r="L1398" i="1"/>
  <c r="K1398" i="1"/>
  <c r="M1377" i="1"/>
  <c r="L1377" i="1"/>
  <c r="K1377" i="1"/>
  <c r="M1352" i="1"/>
  <c r="L1352" i="1"/>
  <c r="K1352" i="1"/>
  <c r="M1344" i="1"/>
  <c r="L1344" i="1"/>
  <c r="K1344" i="1"/>
  <c r="M1325" i="1"/>
  <c r="L1325" i="1"/>
  <c r="K1325" i="1"/>
  <c r="M1323" i="1"/>
  <c r="L1323" i="1"/>
  <c r="K1323" i="1"/>
  <c r="M1321" i="1"/>
  <c r="L1321" i="1"/>
  <c r="K1321" i="1"/>
  <c r="M1320" i="1"/>
  <c r="L1320" i="1"/>
  <c r="K1320" i="1"/>
  <c r="M1317" i="1"/>
  <c r="L1317" i="1"/>
  <c r="K1317" i="1"/>
  <c r="M1314" i="1"/>
  <c r="L1314" i="1"/>
  <c r="K1314" i="1"/>
  <c r="M1298" i="1"/>
  <c r="L1298" i="1"/>
  <c r="K1298" i="1"/>
  <c r="M1297" i="1"/>
  <c r="L1297" i="1"/>
  <c r="K1297" i="1"/>
  <c r="M1294" i="1"/>
  <c r="L1294" i="1"/>
  <c r="K1294" i="1"/>
  <c r="M1284" i="1"/>
  <c r="L1284" i="1"/>
  <c r="K1284" i="1"/>
  <c r="M1264" i="1"/>
  <c r="L1264" i="1"/>
  <c r="K1264" i="1"/>
  <c r="M1253" i="1"/>
  <c r="L1253" i="1"/>
  <c r="K1253" i="1"/>
  <c r="M1246" i="1"/>
  <c r="L1246" i="1"/>
  <c r="K1246" i="1"/>
  <c r="M1244" i="1"/>
  <c r="L1244" i="1"/>
  <c r="K1244" i="1"/>
  <c r="M1219" i="1"/>
  <c r="L1219" i="1"/>
  <c r="K1219" i="1"/>
  <c r="M1206" i="1"/>
  <c r="L1206" i="1"/>
  <c r="K1206" i="1"/>
  <c r="M1198" i="1"/>
  <c r="L1198" i="1"/>
  <c r="K1198" i="1"/>
  <c r="M1197" i="1"/>
  <c r="L1197" i="1"/>
  <c r="K1197" i="1"/>
  <c r="M1190" i="1"/>
  <c r="L1190" i="1"/>
  <c r="K1190" i="1"/>
  <c r="M1121" i="1"/>
  <c r="L1121" i="1"/>
  <c r="K1121" i="1"/>
  <c r="M1120" i="1"/>
  <c r="L1120" i="1"/>
  <c r="K1120" i="1"/>
  <c r="M1114" i="1"/>
  <c r="L1114" i="1"/>
  <c r="K1114" i="1"/>
  <c r="M1110" i="1"/>
  <c r="L1110" i="1"/>
  <c r="K1110" i="1"/>
  <c r="M1109" i="1"/>
  <c r="L1109" i="1"/>
  <c r="K1109" i="1"/>
  <c r="M1045" i="1"/>
  <c r="L1045" i="1"/>
  <c r="K1045" i="1"/>
  <c r="M1044" i="1"/>
  <c r="L1044" i="1"/>
  <c r="K1044" i="1"/>
  <c r="M1041" i="1"/>
  <c r="L1041" i="1"/>
  <c r="K1041" i="1"/>
  <c r="M1035" i="1"/>
  <c r="L1035" i="1"/>
  <c r="K1035" i="1"/>
  <c r="M1022" i="1"/>
  <c r="L1022" i="1"/>
  <c r="K1022" i="1"/>
  <c r="M1005" i="1"/>
  <c r="L1005" i="1"/>
  <c r="K1005" i="1"/>
  <c r="M980" i="1"/>
  <c r="L980" i="1"/>
  <c r="K980" i="1"/>
  <c r="M968" i="1"/>
  <c r="L968" i="1"/>
  <c r="K968" i="1"/>
  <c r="M967" i="1"/>
  <c r="L967" i="1"/>
  <c r="K967" i="1"/>
  <c r="M965" i="1"/>
  <c r="L965" i="1"/>
  <c r="K965" i="1"/>
  <c r="M942" i="1"/>
  <c r="L942" i="1"/>
  <c r="K942" i="1"/>
  <c r="M941" i="1"/>
  <c r="L941" i="1"/>
  <c r="K941" i="1"/>
  <c r="M928" i="1"/>
  <c r="L928" i="1"/>
  <c r="K928" i="1"/>
  <c r="M919" i="1"/>
  <c r="L919" i="1"/>
  <c r="K919" i="1"/>
  <c r="L917" i="1"/>
  <c r="K917" i="1"/>
  <c r="M849" i="1"/>
  <c r="L849" i="1"/>
  <c r="K849" i="1"/>
  <c r="M844" i="1"/>
  <c r="L844" i="1"/>
  <c r="K844" i="1"/>
  <c r="M836" i="1"/>
  <c r="L836" i="1"/>
  <c r="K836" i="1"/>
  <c r="M819" i="1"/>
  <c r="L819" i="1"/>
  <c r="K819" i="1"/>
  <c r="M818" i="1"/>
  <c r="L818" i="1"/>
  <c r="K818" i="1"/>
  <c r="M730" i="1"/>
  <c r="L730" i="1"/>
  <c r="K730" i="1"/>
  <c r="M729" i="1"/>
  <c r="L729" i="1"/>
  <c r="K729" i="1"/>
  <c r="M725" i="1"/>
  <c r="L725" i="1"/>
  <c r="K725" i="1"/>
  <c r="M713" i="1"/>
  <c r="L713" i="1"/>
  <c r="K713" i="1"/>
  <c r="M684" i="1"/>
  <c r="L684" i="1"/>
  <c r="K684" i="1"/>
  <c r="M675" i="1"/>
  <c r="L675" i="1"/>
  <c r="K675" i="1"/>
  <c r="M674" i="1"/>
  <c r="L674" i="1"/>
  <c r="K674" i="1"/>
  <c r="M665" i="1"/>
  <c r="L665" i="1"/>
  <c r="K665" i="1"/>
  <c r="M635" i="1"/>
  <c r="L635" i="1"/>
  <c r="K635" i="1"/>
  <c r="M619" i="1"/>
  <c r="L619" i="1"/>
  <c r="K619" i="1"/>
  <c r="M617" i="1"/>
  <c r="L617" i="1"/>
  <c r="K617" i="1"/>
  <c r="M468" i="1"/>
  <c r="L468" i="1"/>
  <c r="K468" i="1"/>
  <c r="M454" i="1"/>
  <c r="L454" i="1"/>
  <c r="K454" i="1"/>
  <c r="M437" i="1"/>
  <c r="L437" i="1"/>
  <c r="K437" i="1"/>
  <c r="M401" i="1"/>
  <c r="L401" i="1"/>
  <c r="K401" i="1"/>
  <c r="M325" i="1"/>
  <c r="L325" i="1"/>
  <c r="K325" i="1"/>
  <c r="M324" i="1"/>
  <c r="L324" i="1"/>
  <c r="K324" i="1"/>
  <c r="M317" i="1"/>
  <c r="L317" i="1"/>
  <c r="K317" i="1"/>
  <c r="M301" i="1"/>
  <c r="L301" i="1"/>
  <c r="K301" i="1"/>
  <c r="M260" i="1"/>
  <c r="L260" i="1"/>
  <c r="K260" i="1"/>
  <c r="M244" i="1"/>
  <c r="L244" i="1"/>
  <c r="K244" i="1"/>
  <c r="M240" i="1"/>
  <c r="L240" i="1"/>
  <c r="K240" i="1"/>
  <c r="M239" i="1"/>
  <c r="L239" i="1"/>
  <c r="K239" i="1"/>
  <c r="M230" i="1"/>
  <c r="L230" i="1"/>
  <c r="K230" i="1"/>
  <c r="M216" i="1"/>
  <c r="L216" i="1"/>
  <c r="K216" i="1"/>
  <c r="M207" i="1"/>
  <c r="L207" i="1"/>
  <c r="K207" i="1"/>
  <c r="M194" i="1"/>
  <c r="L194" i="1"/>
  <c r="K194" i="1"/>
  <c r="M193" i="1"/>
  <c r="L193" i="1"/>
  <c r="K193" i="1"/>
  <c r="M180" i="1"/>
  <c r="L180" i="1"/>
  <c r="K180" i="1"/>
  <c r="K175" i="1"/>
  <c r="M175" i="1"/>
  <c r="L175" i="1"/>
  <c r="M146" i="1"/>
  <c r="L146" i="1"/>
  <c r="K146" i="1"/>
  <c r="M139" i="1"/>
  <c r="L139" i="1"/>
  <c r="K139" i="1"/>
  <c r="M138" i="1"/>
  <c r="L138" i="1"/>
  <c r="K138" i="1"/>
  <c r="M137" i="1"/>
  <c r="L137" i="1"/>
  <c r="K137" i="1"/>
  <c r="M131" i="1"/>
  <c r="L131" i="1"/>
  <c r="K131" i="1"/>
  <c r="M129" i="1"/>
  <c r="L129" i="1"/>
  <c r="K129" i="1"/>
  <c r="M128" i="1"/>
  <c r="K128" i="1"/>
  <c r="L128" i="1"/>
  <c r="M95" i="1"/>
  <c r="L95" i="1"/>
  <c r="K95" i="1"/>
  <c r="L94" i="1"/>
  <c r="M73" i="1"/>
  <c r="L73" i="1"/>
  <c r="K73" i="1"/>
  <c r="M72" i="1"/>
  <c r="L72" i="1"/>
  <c r="K72" i="1"/>
  <c r="M62" i="1"/>
  <c r="L62" i="1"/>
  <c r="K62" i="1"/>
  <c r="K47" i="1"/>
  <c r="M23" i="1"/>
  <c r="L23" i="1"/>
  <c r="K23" i="1"/>
  <c r="M19" i="1"/>
  <c r="L19" i="1"/>
  <c r="K19" i="1"/>
  <c r="M9" i="1"/>
  <c r="L9" i="1"/>
  <c r="K9" i="1"/>
  <c r="M843" i="1"/>
  <c r="L843" i="1"/>
  <c r="K843" i="1"/>
  <c r="H1484" i="1"/>
  <c r="G1484" i="1"/>
  <c r="F1484" i="1"/>
  <c r="H1465" i="1"/>
  <c r="G1465" i="1"/>
  <c r="F1465" i="1"/>
  <c r="H1450" i="1"/>
  <c r="G1450" i="1"/>
  <c r="F1450" i="1"/>
  <c r="H1449" i="1"/>
  <c r="G1449" i="1"/>
  <c r="F1449" i="1"/>
  <c r="H1444" i="1"/>
  <c r="G1444" i="1"/>
  <c r="F1444" i="1"/>
  <c r="H1424" i="1"/>
  <c r="G1424" i="1"/>
  <c r="F1424" i="1"/>
  <c r="H1422" i="1"/>
  <c r="G1422" i="1"/>
  <c r="F1422" i="1"/>
  <c r="H1413" i="1"/>
  <c r="G1413" i="1"/>
  <c r="F1413" i="1"/>
  <c r="H1403" i="1"/>
  <c r="G1403" i="1"/>
  <c r="F1403" i="1"/>
  <c r="H1402" i="1"/>
  <c r="G1402" i="1"/>
  <c r="F1402" i="1"/>
  <c r="H1398" i="1"/>
  <c r="G1398" i="1"/>
  <c r="F1398" i="1"/>
  <c r="H1377" i="1"/>
  <c r="G1377" i="1"/>
  <c r="F1377" i="1"/>
  <c r="H1375" i="1"/>
  <c r="G1375" i="1"/>
  <c r="F1375" i="1"/>
  <c r="H1352" i="1"/>
  <c r="G1352" i="1"/>
  <c r="F1352" i="1"/>
  <c r="H1344" i="1"/>
  <c r="G1344" i="1"/>
  <c r="F1344" i="1"/>
  <c r="H1343" i="1"/>
  <c r="G1343" i="1"/>
  <c r="F1343" i="1"/>
  <c r="H1336" i="1"/>
  <c r="G1336" i="1"/>
  <c r="F1336" i="1"/>
  <c r="H1325" i="1"/>
  <c r="G1325" i="1"/>
  <c r="F1325" i="1"/>
  <c r="H1323" i="1"/>
  <c r="G1323" i="1"/>
  <c r="F1323" i="1"/>
  <c r="H1321" i="1"/>
  <c r="G1321" i="1"/>
  <c r="F1321" i="1"/>
  <c r="H1320" i="1"/>
  <c r="G1320" i="1"/>
  <c r="F1320" i="1"/>
  <c r="H1317" i="1"/>
  <c r="G1317" i="1"/>
  <c r="F1317" i="1"/>
  <c r="H1314" i="1"/>
  <c r="G1314" i="1"/>
  <c r="F1314" i="1"/>
  <c r="H1308" i="1"/>
  <c r="G1308" i="1"/>
  <c r="F1308" i="1"/>
  <c r="H1298" i="1"/>
  <c r="G1298" i="1"/>
  <c r="F1298" i="1"/>
  <c r="H1297" i="1"/>
  <c r="G1297" i="1"/>
  <c r="F1297" i="1"/>
  <c r="H1294" i="1"/>
  <c r="G1294" i="1"/>
  <c r="F1294" i="1"/>
  <c r="H1284" i="1"/>
  <c r="G1284" i="1"/>
  <c r="F1284" i="1"/>
  <c r="H1264" i="1"/>
  <c r="G1264" i="1"/>
  <c r="F1264" i="1"/>
  <c r="H1253" i="1"/>
  <c r="G1253" i="1"/>
  <c r="F1253" i="1"/>
  <c r="H1248" i="1"/>
  <c r="G1248" i="1"/>
  <c r="F1248" i="1"/>
  <c r="H1246" i="1"/>
  <c r="G1246" i="1"/>
  <c r="F1246" i="1"/>
  <c r="H1223" i="1"/>
  <c r="G1223" i="1"/>
  <c r="F1223" i="1"/>
  <c r="H1219" i="1"/>
  <c r="G1219" i="1"/>
  <c r="F1219" i="1"/>
  <c r="H1206" i="1"/>
  <c r="G1206" i="1"/>
  <c r="F1206" i="1"/>
  <c r="H1198" i="1"/>
  <c r="G1198" i="1"/>
  <c r="F1198" i="1"/>
  <c r="H1197" i="1"/>
  <c r="G1197" i="1"/>
  <c r="F1197" i="1"/>
  <c r="H1190" i="1"/>
  <c r="G1190" i="1"/>
  <c r="F1190" i="1"/>
  <c r="H1139" i="1"/>
  <c r="G1139" i="1"/>
  <c r="F1139" i="1"/>
  <c r="H1121" i="1"/>
  <c r="G1121" i="1"/>
  <c r="F1121" i="1"/>
  <c r="H1120" i="1"/>
  <c r="G1120" i="1"/>
  <c r="F1120" i="1"/>
  <c r="H1110" i="1"/>
  <c r="G1110" i="1"/>
  <c r="F1110" i="1"/>
  <c r="H1109" i="1"/>
  <c r="G1109" i="1"/>
  <c r="F1109" i="1"/>
  <c r="H1100" i="1"/>
  <c r="G1100" i="1"/>
  <c r="F1100" i="1"/>
  <c r="G1094" i="1"/>
  <c r="H1050" i="1"/>
  <c r="G1050" i="1"/>
  <c r="F1050" i="1"/>
  <c r="H1045" i="1"/>
  <c r="G1045" i="1"/>
  <c r="F1045" i="1"/>
  <c r="H1044" i="1"/>
  <c r="G1044" i="1"/>
  <c r="F1044" i="1"/>
  <c r="J1042" i="1"/>
  <c r="H1042" i="1"/>
  <c r="G1042" i="1"/>
  <c r="F1042" i="1"/>
  <c r="H1041" i="1"/>
  <c r="G1041" i="1"/>
  <c r="F1041" i="1"/>
  <c r="H1039" i="1"/>
  <c r="G1039" i="1"/>
  <c r="F1039" i="1"/>
  <c r="H1038" i="1"/>
  <c r="G1038" i="1"/>
  <c r="F1038" i="1"/>
  <c r="J1035" i="1"/>
  <c r="H1035" i="1"/>
  <c r="G1035" i="1"/>
  <c r="F1035" i="1"/>
  <c r="H1023" i="1"/>
  <c r="G1023" i="1"/>
  <c r="F1023" i="1"/>
  <c r="H1022" i="1"/>
  <c r="G1022" i="1"/>
  <c r="F1022" i="1"/>
  <c r="H1005" i="1"/>
  <c r="G1005" i="1"/>
  <c r="F1005" i="1"/>
  <c r="H989" i="1"/>
  <c r="G989" i="1"/>
  <c r="F989" i="1"/>
  <c r="H980" i="1"/>
  <c r="G980" i="1"/>
  <c r="F980" i="1"/>
  <c r="G974" i="1"/>
  <c r="H968" i="1"/>
  <c r="G968" i="1"/>
  <c r="F968" i="1"/>
  <c r="H967" i="1"/>
  <c r="G967" i="1"/>
  <c r="F967" i="1"/>
  <c r="H965" i="1"/>
  <c r="G965" i="1"/>
  <c r="F965" i="1"/>
  <c r="H942" i="1"/>
  <c r="G942" i="1"/>
  <c r="F942" i="1"/>
  <c r="H941" i="1"/>
  <c r="G941" i="1"/>
  <c r="F941" i="1"/>
  <c r="H931" i="1"/>
  <c r="G931" i="1"/>
  <c r="F931" i="1"/>
  <c r="H928" i="1"/>
  <c r="G928" i="1"/>
  <c r="F928" i="1"/>
  <c r="H919" i="1"/>
  <c r="G919" i="1"/>
  <c r="F919" i="1"/>
  <c r="H917" i="1"/>
  <c r="G917" i="1"/>
  <c r="F917" i="1"/>
  <c r="H913" i="1"/>
  <c r="G913" i="1"/>
  <c r="F913" i="1"/>
  <c r="H888" i="1"/>
  <c r="G888" i="1"/>
  <c r="F888" i="1"/>
  <c r="H849" i="1"/>
  <c r="G849" i="1"/>
  <c r="F849" i="1"/>
  <c r="H844" i="1"/>
  <c r="G844" i="1"/>
  <c r="F844" i="1"/>
  <c r="H836" i="1"/>
  <c r="G836" i="1"/>
  <c r="F836" i="1"/>
  <c r="J821" i="1"/>
  <c r="H821" i="1"/>
  <c r="G821" i="1"/>
  <c r="F821" i="1"/>
  <c r="H819" i="1"/>
  <c r="G819" i="1"/>
  <c r="F819" i="1"/>
  <c r="H818" i="1"/>
  <c r="G818" i="1"/>
  <c r="F818" i="1"/>
  <c r="H811" i="1"/>
  <c r="G811" i="1"/>
  <c r="F811" i="1"/>
  <c r="H799" i="1"/>
  <c r="G799" i="1"/>
  <c r="F799" i="1"/>
  <c r="H765" i="1"/>
  <c r="G765" i="1"/>
  <c r="F765" i="1"/>
  <c r="H730" i="1"/>
  <c r="G730" i="1"/>
  <c r="F730" i="1"/>
  <c r="H729" i="1"/>
  <c r="G729" i="1"/>
  <c r="F729" i="1"/>
  <c r="H725" i="1"/>
  <c r="G725" i="1"/>
  <c r="F725" i="1"/>
  <c r="H713" i="1"/>
  <c r="G713" i="1"/>
  <c r="F713" i="1"/>
  <c r="H709" i="1"/>
  <c r="G709" i="1"/>
  <c r="F709" i="1"/>
  <c r="H699" i="1"/>
  <c r="G699" i="1"/>
  <c r="F699" i="1"/>
  <c r="H675" i="1"/>
  <c r="G675" i="1"/>
  <c r="F675" i="1"/>
  <c r="H674" i="1"/>
  <c r="G674" i="1"/>
  <c r="F674" i="1"/>
  <c r="J665" i="1"/>
  <c r="H665" i="1"/>
  <c r="G665" i="1"/>
  <c r="F665" i="1"/>
  <c r="H635" i="1"/>
  <c r="G635" i="1"/>
  <c r="F635" i="1"/>
  <c r="H619" i="1"/>
  <c r="G619" i="1"/>
  <c r="F619" i="1"/>
  <c r="H617" i="1"/>
  <c r="G617" i="1"/>
  <c r="F617" i="1"/>
  <c r="H588" i="1"/>
  <c r="G588" i="1"/>
  <c r="F588" i="1"/>
  <c r="H542" i="1"/>
  <c r="G542" i="1"/>
  <c r="F542" i="1"/>
  <c r="H468" i="1"/>
  <c r="G468" i="1"/>
  <c r="F468" i="1"/>
  <c r="J454" i="1"/>
  <c r="H454" i="1"/>
  <c r="G454" i="1"/>
  <c r="F454" i="1"/>
  <c r="H401" i="1"/>
  <c r="G401" i="1"/>
  <c r="F401" i="1"/>
  <c r="H325" i="1"/>
  <c r="G325" i="1"/>
  <c r="F325" i="1"/>
  <c r="H324" i="1"/>
  <c r="G324" i="1"/>
  <c r="F324" i="1"/>
  <c r="H317" i="1"/>
  <c r="G317" i="1"/>
  <c r="F317" i="1"/>
  <c r="H301" i="1"/>
  <c r="G301" i="1"/>
  <c r="F301" i="1"/>
  <c r="H260" i="1"/>
  <c r="G260" i="1"/>
  <c r="F260" i="1"/>
  <c r="H244" i="1"/>
  <c r="G244" i="1"/>
  <c r="F244" i="1"/>
  <c r="H240" i="1"/>
  <c r="G240" i="1"/>
  <c r="F240" i="1"/>
  <c r="H239" i="1"/>
  <c r="G239" i="1"/>
  <c r="F239" i="1"/>
  <c r="H234" i="1"/>
  <c r="G234" i="1"/>
  <c r="F234" i="1"/>
  <c r="H230" i="1"/>
  <c r="G230" i="1"/>
  <c r="F230" i="1"/>
  <c r="H216" i="1"/>
  <c r="G216" i="1"/>
  <c r="F216" i="1"/>
  <c r="H207" i="1"/>
  <c r="G207" i="1"/>
  <c r="F207" i="1"/>
  <c r="H194" i="1"/>
  <c r="G194" i="1"/>
  <c r="F194" i="1"/>
  <c r="H193" i="1"/>
  <c r="G193" i="1"/>
  <c r="F193" i="1"/>
  <c r="H180" i="1"/>
  <c r="G180" i="1"/>
  <c r="F180" i="1"/>
  <c r="H175" i="1"/>
  <c r="G175" i="1"/>
  <c r="F175" i="1"/>
  <c r="H146" i="1"/>
  <c r="G146" i="1"/>
  <c r="F146" i="1"/>
  <c r="H139" i="1"/>
  <c r="G139" i="1"/>
  <c r="F139" i="1"/>
  <c r="H138" i="1"/>
  <c r="G138" i="1"/>
  <c r="F138" i="1"/>
  <c r="H137" i="1"/>
  <c r="G137" i="1"/>
  <c r="F137" i="1"/>
  <c r="H131" i="1"/>
  <c r="G131" i="1"/>
  <c r="F131" i="1"/>
  <c r="H129" i="1"/>
  <c r="G129" i="1"/>
  <c r="F129" i="1"/>
  <c r="H128" i="1"/>
  <c r="G128" i="1"/>
  <c r="F128" i="1"/>
  <c r="H119" i="1"/>
  <c r="G119" i="1"/>
  <c r="F119" i="1"/>
  <c r="H117" i="1"/>
  <c r="G117" i="1"/>
  <c r="F117" i="1"/>
  <c r="H95" i="1"/>
  <c r="G95" i="1"/>
  <c r="F95" i="1"/>
  <c r="H75" i="1"/>
  <c r="G75" i="1"/>
  <c r="F75" i="1"/>
  <c r="H73" i="1"/>
  <c r="G73" i="1"/>
  <c r="F73" i="1"/>
  <c r="H72" i="1"/>
  <c r="G72" i="1"/>
  <c r="F72" i="1"/>
  <c r="H62" i="1"/>
  <c r="G62" i="1"/>
  <c r="F62" i="1"/>
  <c r="H47" i="1"/>
  <c r="G47" i="1"/>
  <c r="F47" i="1"/>
  <c r="H32" i="1"/>
  <c r="G32" i="1"/>
  <c r="F32" i="1"/>
  <c r="H23" i="1"/>
  <c r="G23" i="1"/>
  <c r="F23" i="1"/>
  <c r="H9" i="1"/>
  <c r="G9" i="1"/>
  <c r="F9" i="1"/>
  <c r="H703" i="1"/>
  <c r="G703" i="1"/>
  <c r="F703" i="1"/>
  <c r="H843" i="1"/>
  <c r="G843" i="1"/>
  <c r="F843" i="1"/>
  <c r="N1484" i="1"/>
  <c r="D1484" i="1"/>
  <c r="I1466" i="1"/>
  <c r="D1466" i="1"/>
  <c r="D1465" i="1"/>
  <c r="D1450" i="1"/>
  <c r="D1449" i="1"/>
  <c r="D1444" i="1"/>
  <c r="D1424" i="1"/>
  <c r="N1422" i="1"/>
  <c r="D1422" i="1"/>
  <c r="N1413" i="1"/>
  <c r="D1413" i="1"/>
  <c r="D1403" i="1"/>
  <c r="D1402" i="1"/>
  <c r="D1398" i="1"/>
  <c r="D1377" i="1"/>
  <c r="N1375" i="1"/>
  <c r="D1375" i="1"/>
  <c r="D1352" i="1"/>
  <c r="D1344" i="1"/>
  <c r="D1343" i="1"/>
  <c r="N1336" i="1"/>
  <c r="D1336" i="1"/>
  <c r="D1325" i="1"/>
  <c r="D1323" i="1"/>
  <c r="D1321" i="1"/>
  <c r="D1320" i="1"/>
  <c r="D1317" i="1"/>
  <c r="D1314" i="1"/>
  <c r="N1308" i="1"/>
  <c r="D1308" i="1"/>
  <c r="D1298" i="1"/>
  <c r="D1297" i="1"/>
  <c r="E1294" i="1"/>
  <c r="D1294" i="1"/>
  <c r="I22" i="1" l="1"/>
  <c r="I116" i="1"/>
  <c r="I352" i="1"/>
  <c r="I322" i="1"/>
  <c r="I316" i="1"/>
  <c r="I303" i="1"/>
  <c r="I296" i="1"/>
  <c r="I257" i="1"/>
  <c r="I208" i="1"/>
  <c r="I178" i="1"/>
  <c r="I163" i="1"/>
  <c r="I142" i="1"/>
  <c r="I118" i="1"/>
  <c r="I110" i="1"/>
  <c r="I99" i="1"/>
  <c r="I71" i="1"/>
  <c r="I44" i="1"/>
  <c r="I37" i="1"/>
  <c r="I26" i="1"/>
  <c r="I21" i="1"/>
  <c r="I109" i="1"/>
  <c r="N1424" i="1"/>
  <c r="I139" i="1"/>
  <c r="I730" i="1"/>
  <c r="I1422" i="1"/>
  <c r="N1294" i="1"/>
  <c r="N1351" i="1"/>
  <c r="I325" i="1"/>
  <c r="I1297" i="1"/>
  <c r="I1289" i="1"/>
  <c r="N1297" i="1"/>
  <c r="N1357" i="1"/>
  <c r="N1289" i="1"/>
  <c r="N1467" i="1"/>
  <c r="N1468" i="1"/>
  <c r="N1466" i="1"/>
  <c r="N1402" i="1"/>
  <c r="N1383" i="1"/>
  <c r="N1377" i="1"/>
  <c r="N1326" i="1"/>
  <c r="N1323" i="1"/>
  <c r="N1317" i="1"/>
  <c r="N1314" i="1"/>
  <c r="N1306" i="1"/>
  <c r="I1484" i="1"/>
  <c r="I1468" i="1"/>
  <c r="I1467" i="1"/>
  <c r="I1424" i="1"/>
  <c r="I1413" i="1"/>
  <c r="I1402" i="1"/>
  <c r="I1383" i="1"/>
  <c r="I1377" i="1"/>
  <c r="I1375" i="1"/>
  <c r="I1357" i="1"/>
  <c r="I1336" i="1"/>
  <c r="I1326" i="1"/>
  <c r="I1323" i="1"/>
  <c r="I1317" i="1"/>
  <c r="I1314" i="1"/>
  <c r="I1308" i="1"/>
  <c r="I1306" i="1"/>
  <c r="I1294" i="1"/>
  <c r="N1284" i="1"/>
  <c r="I1284" i="1"/>
  <c r="D1284" i="1"/>
  <c r="N1265" i="1"/>
  <c r="I1265" i="1"/>
  <c r="N1264" i="1"/>
  <c r="I1264" i="1"/>
  <c r="D1264" i="1"/>
  <c r="N1253" i="1"/>
  <c r="I1253" i="1"/>
  <c r="D1253" i="1"/>
  <c r="N1247" i="1"/>
  <c r="I1247" i="1"/>
  <c r="N1246" i="1"/>
  <c r="I1246" i="1"/>
  <c r="D1246" i="1"/>
  <c r="N1244" i="1"/>
  <c r="I1244" i="1"/>
  <c r="D1244" i="1"/>
  <c r="N1243" i="1"/>
  <c r="I1243" i="1"/>
  <c r="N1223" i="1"/>
  <c r="I1223" i="1"/>
  <c r="D1223" i="1"/>
  <c r="D1219" i="1"/>
  <c r="N1216" i="1"/>
  <c r="I1216" i="1"/>
  <c r="N1212" i="1"/>
  <c r="I1212" i="1"/>
  <c r="N1208" i="1"/>
  <c r="I1208" i="1"/>
  <c r="N1206" i="1"/>
  <c r="I1206" i="1"/>
  <c r="D1206" i="1"/>
  <c r="N1198" i="1"/>
  <c r="I1198" i="1"/>
  <c r="D1198" i="1"/>
  <c r="D1197" i="1"/>
  <c r="N1190" i="1"/>
  <c r="I1190" i="1"/>
  <c r="D1190" i="1"/>
  <c r="N1185" i="1"/>
  <c r="I1185" i="1"/>
  <c r="N1139" i="1"/>
  <c r="I1139" i="1"/>
  <c r="D1139" i="1"/>
  <c r="N1123" i="1"/>
  <c r="I1123" i="1"/>
  <c r="D1121" i="1"/>
  <c r="N1120" i="1"/>
  <c r="I1120" i="1"/>
  <c r="D1120" i="1"/>
  <c r="N1114" i="1"/>
  <c r="I1114" i="1"/>
  <c r="D1114" i="1"/>
  <c r="N1110" i="1"/>
  <c r="I1110" i="1"/>
  <c r="D1110" i="1"/>
  <c r="D1109" i="1"/>
  <c r="D1100" i="1"/>
  <c r="N1100" i="1" l="1"/>
  <c r="N1109" i="1"/>
  <c r="I1100" i="1"/>
  <c r="I1109" i="1"/>
  <c r="N1050" i="1"/>
  <c r="I1050" i="1"/>
  <c r="D1050" i="1"/>
  <c r="N1045" i="1"/>
  <c r="I1045" i="1"/>
  <c r="D1045" i="1"/>
  <c r="N1044" i="1"/>
  <c r="I1044" i="1"/>
  <c r="D1044" i="1"/>
  <c r="N1043" i="1"/>
  <c r="I1043" i="1"/>
  <c r="N1042" i="1"/>
  <c r="I1042" i="1"/>
  <c r="D1042" i="1"/>
  <c r="N1041" i="1"/>
  <c r="I1041" i="1"/>
  <c r="D1041" i="1"/>
  <c r="N1039" i="1"/>
  <c r="I1039" i="1"/>
  <c r="D1039" i="1"/>
  <c r="N1038" i="1"/>
  <c r="I1038" i="1"/>
  <c r="D1038" i="1"/>
  <c r="N1035" i="1"/>
  <c r="I1035" i="1"/>
  <c r="D1035" i="1"/>
  <c r="N1022" i="1"/>
  <c r="I1022" i="1"/>
  <c r="D1022" i="1"/>
  <c r="N1011" i="1"/>
  <c r="I1011" i="1"/>
  <c r="D1005" i="1"/>
  <c r="N1005" i="1"/>
  <c r="I1005" i="1"/>
  <c r="N1003" i="1"/>
  <c r="I1003" i="1"/>
  <c r="N989" i="1"/>
  <c r="I989" i="1"/>
  <c r="D989" i="1"/>
  <c r="N959" i="1"/>
  <c r="I959" i="1"/>
  <c r="D980" i="1"/>
  <c r="D968" i="1"/>
  <c r="D967" i="1"/>
  <c r="D965" i="1"/>
  <c r="D942" i="1"/>
  <c r="N941" i="1"/>
  <c r="I941" i="1"/>
  <c r="D941" i="1"/>
  <c r="E931" i="1"/>
  <c r="D931" i="1"/>
  <c r="N928" i="1"/>
  <c r="I928" i="1"/>
  <c r="D928" i="1"/>
  <c r="N919" i="1"/>
  <c r="I919" i="1"/>
  <c r="D919" i="1"/>
  <c r="N916" i="1"/>
  <c r="I916" i="1"/>
  <c r="N913" i="1"/>
  <c r="I913" i="1"/>
  <c r="D913" i="1"/>
  <c r="N891" i="1"/>
  <c r="I891" i="1"/>
  <c r="D888" i="1"/>
  <c r="N886" i="1"/>
  <c r="I886" i="1"/>
  <c r="D849" i="1"/>
  <c r="N845" i="1"/>
  <c r="I845" i="1"/>
  <c r="D844" i="1"/>
  <c r="D836" i="1"/>
  <c r="N821" i="1"/>
  <c r="I821" i="1"/>
  <c r="D821" i="1"/>
  <c r="N818" i="1"/>
  <c r="I818" i="1"/>
  <c r="D818" i="1"/>
  <c r="N815" i="1"/>
  <c r="I815" i="1"/>
  <c r="N811" i="1"/>
  <c r="I811" i="1"/>
  <c r="D811" i="1"/>
  <c r="N808" i="1"/>
  <c r="I808" i="1"/>
  <c r="N806" i="1"/>
  <c r="I806" i="1"/>
  <c r="D799" i="1"/>
  <c r="N765" i="1"/>
  <c r="I765" i="1"/>
  <c r="N753" i="1"/>
  <c r="I753" i="1"/>
  <c r="D746" i="1"/>
  <c r="D730" i="1"/>
  <c r="N729" i="1"/>
  <c r="I729" i="1"/>
  <c r="D729" i="1"/>
  <c r="N718" i="1"/>
  <c r="I718" i="1"/>
  <c r="D713" i="1"/>
  <c r="N711" i="1"/>
  <c r="I711" i="1"/>
  <c r="N709" i="1"/>
  <c r="I709" i="1"/>
  <c r="D709" i="1"/>
  <c r="D699" i="1"/>
  <c r="N685" i="1"/>
  <c r="I685" i="1"/>
  <c r="D684" i="1"/>
  <c r="N675" i="1"/>
  <c r="I675" i="1"/>
  <c r="D675" i="1"/>
  <c r="N674" i="1"/>
  <c r="I674" i="1"/>
  <c r="D674" i="1"/>
  <c r="N665" i="1"/>
  <c r="I665" i="1"/>
  <c r="D665" i="1"/>
  <c r="N663" i="1"/>
  <c r="I663" i="1"/>
  <c r="D635" i="1"/>
  <c r="N619" i="1"/>
  <c r="I619" i="1"/>
  <c r="D619" i="1"/>
  <c r="N617" i="1"/>
  <c r="I617" i="1"/>
  <c r="D617" i="1"/>
  <c r="N616" i="1"/>
  <c r="I616" i="1"/>
  <c r="N603" i="1"/>
  <c r="I603" i="1"/>
  <c r="D588" i="1"/>
  <c r="N542" i="1"/>
  <c r="I542" i="1"/>
  <c r="D542" i="1"/>
  <c r="N535" i="1"/>
  <c r="I535" i="1"/>
  <c r="N534" i="1"/>
  <c r="I534" i="1"/>
  <c r="N523" i="1"/>
  <c r="I523" i="1"/>
  <c r="N468" i="1"/>
  <c r="I468" i="1"/>
  <c r="D468" i="1"/>
  <c r="N454" i="1"/>
  <c r="I454" i="1"/>
  <c r="D454" i="1"/>
  <c r="E414" i="1"/>
  <c r="N413" i="1"/>
  <c r="I413" i="1"/>
  <c r="D401" i="1"/>
  <c r="N355" i="1"/>
  <c r="I355" i="1"/>
  <c r="N325" i="1"/>
  <c r="D325" i="1"/>
  <c r="D324" i="1"/>
  <c r="N323" i="1"/>
  <c r="I323" i="1"/>
  <c r="N317" i="1"/>
  <c r="I317" i="1"/>
  <c r="D317" i="1"/>
  <c r="N301" i="1"/>
  <c r="I301" i="1"/>
  <c r="D301" i="1"/>
  <c r="D260" i="1"/>
  <c r="E244" i="1"/>
  <c r="D244" i="1"/>
  <c r="D240" i="1"/>
  <c r="D239" i="1"/>
  <c r="N234" i="1"/>
  <c r="I234" i="1"/>
  <c r="D234" i="1"/>
  <c r="N230" i="1"/>
  <c r="I230" i="1"/>
  <c r="D230" i="1"/>
  <c r="N216" i="1"/>
  <c r="I216" i="1"/>
  <c r="D216" i="1"/>
  <c r="N213" i="1"/>
  <c r="I213" i="1"/>
  <c r="N207" i="1"/>
  <c r="I207" i="1"/>
  <c r="D207" i="1"/>
  <c r="D194" i="1"/>
  <c r="D193" i="1"/>
  <c r="N180" i="1"/>
  <c r="I180" i="1"/>
  <c r="D180" i="1"/>
  <c r="N175" i="1"/>
  <c r="I175" i="1"/>
  <c r="D175" i="1"/>
  <c r="N146" i="1"/>
  <c r="I146" i="1"/>
  <c r="D146" i="1"/>
  <c r="N144" i="1"/>
  <c r="I144" i="1"/>
  <c r="N139" i="1"/>
  <c r="D139" i="1"/>
  <c r="N138" i="1"/>
  <c r="I138" i="1"/>
  <c r="D138" i="1"/>
  <c r="N137" i="1"/>
  <c r="I137" i="1"/>
  <c r="D137" i="1"/>
  <c r="D131" i="1"/>
  <c r="D129" i="1"/>
  <c r="N128" i="1"/>
  <c r="I128" i="1"/>
  <c r="D128" i="1"/>
  <c r="N119" i="1"/>
  <c r="I119" i="1"/>
  <c r="D119" i="1"/>
  <c r="N117" i="1"/>
  <c r="I117" i="1"/>
  <c r="D117" i="1"/>
  <c r="D97" i="1"/>
  <c r="N97" i="1"/>
  <c r="I97" i="1"/>
  <c r="N73" i="1"/>
  <c r="I73" i="1"/>
  <c r="D95" i="1"/>
  <c r="D75" i="1"/>
  <c r="D73" i="1"/>
  <c r="N72" i="1"/>
  <c r="I72" i="1"/>
  <c r="D72" i="1"/>
  <c r="D62" i="1"/>
  <c r="N62" i="1"/>
  <c r="I62" i="1"/>
  <c r="N47" i="1" l="1"/>
  <c r="I47" i="1"/>
  <c r="D47" i="1"/>
  <c r="N39" i="1"/>
  <c r="I39" i="1"/>
  <c r="N38" i="1"/>
  <c r="I38" i="1"/>
  <c r="D32" i="1"/>
  <c r="N32" i="1"/>
  <c r="I32" i="1"/>
  <c r="D23" i="1"/>
  <c r="D19" i="1"/>
  <c r="I19" i="1"/>
  <c r="N19" i="1"/>
  <c r="D9" i="1"/>
  <c r="D843" i="1"/>
  <c r="N993" i="1"/>
  <c r="M1562" i="1"/>
  <c r="L1562" i="1"/>
  <c r="K1562" i="1"/>
  <c r="M1534" i="1"/>
  <c r="L1534" i="1"/>
  <c r="K1534" i="1"/>
  <c r="M1494" i="1"/>
  <c r="L1494" i="1"/>
  <c r="K1494" i="1"/>
  <c r="M1487" i="1"/>
  <c r="L1487" i="1"/>
  <c r="K1487" i="1"/>
  <c r="N1483" i="1"/>
  <c r="M1449" i="1"/>
  <c r="L1449" i="1"/>
  <c r="K1449" i="1"/>
  <c r="M1444" i="1"/>
  <c r="L1444" i="1"/>
  <c r="K1444" i="1"/>
  <c r="M1384" i="1"/>
  <c r="L1384" i="1"/>
  <c r="K1384" i="1"/>
  <c r="M1379" i="1"/>
  <c r="L1379" i="1"/>
  <c r="K1379" i="1"/>
  <c r="M1355" i="1"/>
  <c r="L1355" i="1"/>
  <c r="K1355" i="1"/>
  <c r="M1349" i="1"/>
  <c r="L1349" i="1"/>
  <c r="K1349" i="1"/>
  <c r="M1348" i="1"/>
  <c r="L1348" i="1"/>
  <c r="K1348" i="1"/>
  <c r="M1343" i="1"/>
  <c r="L1343" i="1"/>
  <c r="K1343" i="1"/>
  <c r="M1335" i="1"/>
  <c r="L1335" i="1"/>
  <c r="K1335" i="1"/>
  <c r="M1324" i="1"/>
  <c r="L1324" i="1"/>
  <c r="K1324" i="1"/>
  <c r="M1277" i="1"/>
  <c r="L1277" i="1"/>
  <c r="K1277" i="1"/>
  <c r="N1276" i="1"/>
  <c r="M1274" i="1"/>
  <c r="L1274" i="1"/>
  <c r="K1274" i="1"/>
  <c r="M1252" i="1"/>
  <c r="L1252" i="1"/>
  <c r="K1252" i="1"/>
  <c r="M1196" i="1"/>
  <c r="L1196" i="1"/>
  <c r="K1196" i="1"/>
  <c r="M1188" i="1"/>
  <c r="L1188" i="1"/>
  <c r="K1188" i="1"/>
  <c r="M1130" i="1"/>
  <c r="L1130" i="1"/>
  <c r="K1130" i="1"/>
  <c r="M1106" i="1"/>
  <c r="L1106" i="1"/>
  <c r="K1106" i="1"/>
  <c r="M1094" i="1"/>
  <c r="L1094" i="1"/>
  <c r="K1094" i="1"/>
  <c r="M1070" i="1"/>
  <c r="L1070" i="1"/>
  <c r="K1070" i="1"/>
  <c r="M1061" i="1"/>
  <c r="L1061" i="1"/>
  <c r="K1061" i="1"/>
  <c r="M1036" i="1"/>
  <c r="L1036" i="1"/>
  <c r="K1036" i="1"/>
  <c r="M1028" i="1"/>
  <c r="L1028" i="1"/>
  <c r="K1028" i="1"/>
  <c r="M921" i="1"/>
  <c r="L921" i="1"/>
  <c r="K921" i="1"/>
  <c r="M912" i="1"/>
  <c r="L912" i="1"/>
  <c r="K912" i="1"/>
  <c r="M865" i="1"/>
  <c r="L865" i="1"/>
  <c r="K865" i="1"/>
  <c r="M861" i="1"/>
  <c r="L861" i="1"/>
  <c r="K861" i="1"/>
  <c r="N844" i="1"/>
  <c r="M835" i="1"/>
  <c r="L835" i="1"/>
  <c r="K835" i="1"/>
  <c r="M830" i="1"/>
  <c r="L830" i="1"/>
  <c r="K830" i="1"/>
  <c r="M807" i="1"/>
  <c r="L807" i="1"/>
  <c r="K807" i="1"/>
  <c r="M785" i="1"/>
  <c r="L785" i="1"/>
  <c r="K785" i="1"/>
  <c r="M754" i="1"/>
  <c r="L754" i="1"/>
  <c r="K754" i="1"/>
  <c r="M799" i="1"/>
  <c r="L799" i="1"/>
  <c r="K799" i="1"/>
  <c r="M751" i="1"/>
  <c r="L751" i="1"/>
  <c r="K751" i="1"/>
  <c r="M742" i="1"/>
  <c r="L742" i="1"/>
  <c r="K742" i="1"/>
  <c r="M722" i="1"/>
  <c r="L722" i="1"/>
  <c r="K722" i="1"/>
  <c r="M719" i="1"/>
  <c r="L719" i="1"/>
  <c r="K719" i="1"/>
  <c r="M717" i="1"/>
  <c r="L717" i="1"/>
  <c r="K717" i="1"/>
  <c r="M715" i="1"/>
  <c r="L715" i="1"/>
  <c r="K715" i="1"/>
  <c r="M703" i="1"/>
  <c r="L703" i="1"/>
  <c r="K703" i="1"/>
  <c r="M681" i="1"/>
  <c r="L681" i="1"/>
  <c r="K681" i="1"/>
  <c r="M679" i="1"/>
  <c r="L679" i="1"/>
  <c r="K679" i="1"/>
  <c r="M678" i="1"/>
  <c r="L678" i="1"/>
  <c r="K678" i="1"/>
  <c r="M668" i="1"/>
  <c r="L668" i="1"/>
  <c r="K668" i="1"/>
  <c r="M588" i="1"/>
  <c r="L588" i="1"/>
  <c r="K588" i="1"/>
  <c r="M570" i="1"/>
  <c r="L570" i="1"/>
  <c r="K570" i="1"/>
  <c r="M541" i="1"/>
  <c r="L541" i="1"/>
  <c r="K541" i="1"/>
  <c r="M537" i="1"/>
  <c r="L537" i="1"/>
  <c r="K537" i="1"/>
  <c r="M536" i="1"/>
  <c r="L536" i="1"/>
  <c r="K536" i="1"/>
  <c r="M496" i="1"/>
  <c r="L496" i="1"/>
  <c r="K496" i="1"/>
  <c r="M429" i="1"/>
  <c r="L429" i="1"/>
  <c r="K429" i="1"/>
  <c r="M358" i="1"/>
  <c r="L358" i="1"/>
  <c r="K358" i="1"/>
  <c r="M334" i="1"/>
  <c r="L334" i="1"/>
  <c r="K334" i="1"/>
  <c r="M256" i="1"/>
  <c r="L256" i="1"/>
  <c r="K256" i="1"/>
  <c r="N194" i="1"/>
  <c r="M122" i="1"/>
  <c r="L122" i="1"/>
  <c r="K122" i="1"/>
  <c r="N98" i="1"/>
  <c r="M81" i="1"/>
  <c r="L81" i="1"/>
  <c r="K81" i="1"/>
  <c r="M79" i="1"/>
  <c r="L79" i="1"/>
  <c r="K79" i="1"/>
  <c r="M54" i="1"/>
  <c r="L54" i="1"/>
  <c r="K54" i="1"/>
  <c r="M45" i="1"/>
  <c r="L45" i="1"/>
  <c r="K45" i="1"/>
  <c r="M42" i="1"/>
  <c r="L42" i="1"/>
  <c r="K42" i="1"/>
  <c r="F35" i="1"/>
  <c r="H1563" i="1"/>
  <c r="G1563" i="1"/>
  <c r="F1563" i="1"/>
  <c r="H1562" i="1"/>
  <c r="G1562" i="1"/>
  <c r="F1562" i="1"/>
  <c r="H1534" i="1"/>
  <c r="G1534" i="1"/>
  <c r="F1534" i="1"/>
  <c r="H1494" i="1"/>
  <c r="G1494" i="1"/>
  <c r="F1494" i="1"/>
  <c r="H1487" i="1"/>
  <c r="G1487" i="1"/>
  <c r="F1487" i="1"/>
  <c r="H1432" i="1"/>
  <c r="G1432" i="1"/>
  <c r="F1432" i="1"/>
  <c r="H1384" i="1"/>
  <c r="G1384" i="1"/>
  <c r="F1384" i="1"/>
  <c r="H1355" i="1"/>
  <c r="G1355" i="1"/>
  <c r="F1355" i="1"/>
  <c r="H1349" i="1"/>
  <c r="G1349" i="1"/>
  <c r="F1349" i="1"/>
  <c r="H1348" i="1"/>
  <c r="G1348" i="1"/>
  <c r="F1348" i="1"/>
  <c r="H1347" i="1"/>
  <c r="G1347" i="1"/>
  <c r="F1347" i="1"/>
  <c r="H1345" i="1"/>
  <c r="G1345" i="1"/>
  <c r="F1345" i="1"/>
  <c r="H1335" i="1"/>
  <c r="G1335" i="1"/>
  <c r="F1335" i="1"/>
  <c r="H1324" i="1"/>
  <c r="G1324" i="1"/>
  <c r="F1324" i="1"/>
  <c r="H1287" i="1"/>
  <c r="G1287" i="1"/>
  <c r="F1287" i="1"/>
  <c r="H1277" i="1"/>
  <c r="G1277" i="1"/>
  <c r="F1277" i="1"/>
  <c r="H1274" i="1"/>
  <c r="G1274" i="1"/>
  <c r="F1274" i="1"/>
  <c r="H1256" i="1"/>
  <c r="G1256" i="1"/>
  <c r="F1256" i="1"/>
  <c r="H1252" i="1"/>
  <c r="G1252" i="1"/>
  <c r="F1252" i="1"/>
  <c r="H1249" i="1"/>
  <c r="G1249" i="1"/>
  <c r="F1249" i="1"/>
  <c r="H1196" i="1"/>
  <c r="G1196" i="1"/>
  <c r="F1196" i="1"/>
  <c r="H1188" i="1"/>
  <c r="G1188" i="1"/>
  <c r="F1188" i="1"/>
  <c r="H1186" i="1"/>
  <c r="G1186" i="1"/>
  <c r="F1186" i="1"/>
  <c r="H1179" i="1"/>
  <c r="G1179" i="1"/>
  <c r="F1179" i="1"/>
  <c r="H1130" i="1"/>
  <c r="G1130" i="1"/>
  <c r="F1130" i="1"/>
  <c r="H1106" i="1"/>
  <c r="G1106" i="1"/>
  <c r="F1106" i="1"/>
  <c r="H1061" i="1"/>
  <c r="G1061" i="1"/>
  <c r="F1061" i="1"/>
  <c r="H1036" i="1"/>
  <c r="G1036" i="1"/>
  <c r="F1036" i="1"/>
  <c r="H1028" i="1"/>
  <c r="G1028" i="1"/>
  <c r="F1028" i="1"/>
  <c r="E1023" i="1"/>
  <c r="D1023" i="1"/>
  <c r="H956" i="1"/>
  <c r="G956" i="1"/>
  <c r="F956" i="1"/>
  <c r="H921" i="1"/>
  <c r="G921" i="1"/>
  <c r="F921" i="1"/>
  <c r="H912" i="1"/>
  <c r="G912" i="1"/>
  <c r="F912" i="1"/>
  <c r="H865" i="1"/>
  <c r="G865" i="1"/>
  <c r="F865" i="1"/>
  <c r="H864" i="1"/>
  <c r="G864" i="1"/>
  <c r="F864" i="1"/>
  <c r="H861" i="1"/>
  <c r="G861" i="1"/>
  <c r="F861" i="1"/>
  <c r="H835" i="1"/>
  <c r="G835" i="1"/>
  <c r="F835" i="1"/>
  <c r="H830" i="1"/>
  <c r="G830" i="1"/>
  <c r="F830" i="1"/>
  <c r="H807" i="1"/>
  <c r="G807" i="1"/>
  <c r="F807" i="1"/>
  <c r="H785" i="1"/>
  <c r="G785" i="1"/>
  <c r="F785" i="1"/>
  <c r="H772" i="1"/>
  <c r="G772" i="1"/>
  <c r="F772" i="1"/>
  <c r="H754" i="1"/>
  <c r="G754" i="1"/>
  <c r="F754" i="1"/>
  <c r="H751" i="1"/>
  <c r="G751" i="1"/>
  <c r="F751" i="1"/>
  <c r="G742" i="1"/>
  <c r="F742" i="1"/>
  <c r="H722" i="1"/>
  <c r="G722" i="1"/>
  <c r="F722" i="1"/>
  <c r="H719" i="1"/>
  <c r="G719" i="1"/>
  <c r="F719" i="1"/>
  <c r="H717" i="1"/>
  <c r="G717" i="1"/>
  <c r="F717" i="1"/>
  <c r="H715" i="1"/>
  <c r="G715" i="1"/>
  <c r="F715" i="1"/>
  <c r="H684" i="1"/>
  <c r="G684" i="1"/>
  <c r="F684" i="1"/>
  <c r="H681" i="1"/>
  <c r="G681" i="1"/>
  <c r="F681" i="1"/>
  <c r="H679" i="1"/>
  <c r="G679" i="1"/>
  <c r="F679" i="1"/>
  <c r="H678" i="1"/>
  <c r="G678" i="1"/>
  <c r="F678" i="1"/>
  <c r="H668" i="1"/>
  <c r="G668" i="1"/>
  <c r="F668" i="1"/>
  <c r="H644" i="1"/>
  <c r="G644" i="1"/>
  <c r="F644" i="1"/>
  <c r="H643" i="1"/>
  <c r="G643" i="1"/>
  <c r="F643" i="1"/>
  <c r="H597" i="1"/>
  <c r="G597" i="1"/>
  <c r="F597" i="1"/>
  <c r="J591" i="1"/>
  <c r="H570" i="1"/>
  <c r="G570" i="1"/>
  <c r="F570" i="1"/>
  <c r="H559" i="1"/>
  <c r="G559" i="1"/>
  <c r="F559" i="1"/>
  <c r="H541" i="1"/>
  <c r="G541" i="1"/>
  <c r="F541" i="1"/>
  <c r="H537" i="1"/>
  <c r="G537" i="1"/>
  <c r="F537" i="1"/>
  <c r="H536" i="1"/>
  <c r="G536" i="1"/>
  <c r="F536" i="1"/>
  <c r="H496" i="1"/>
  <c r="G496" i="1"/>
  <c r="F496" i="1"/>
  <c r="H429" i="1"/>
  <c r="G429" i="1"/>
  <c r="F429" i="1"/>
  <c r="H358" i="1"/>
  <c r="G358" i="1"/>
  <c r="F358" i="1"/>
  <c r="H343" i="1"/>
  <c r="G343" i="1"/>
  <c r="F343" i="1"/>
  <c r="H334" i="1"/>
  <c r="G334" i="1"/>
  <c r="F334" i="1"/>
  <c r="H256" i="1"/>
  <c r="G256" i="1"/>
  <c r="F256" i="1"/>
  <c r="H235" i="1"/>
  <c r="G235" i="1"/>
  <c r="F235" i="1"/>
  <c r="H172" i="1"/>
  <c r="G172" i="1"/>
  <c r="F172" i="1"/>
  <c r="H145" i="1"/>
  <c r="G145" i="1"/>
  <c r="F145" i="1"/>
  <c r="H140" i="1"/>
  <c r="G140" i="1"/>
  <c r="F140" i="1"/>
  <c r="H136" i="1"/>
  <c r="G136" i="1"/>
  <c r="F136" i="1"/>
  <c r="H125" i="1"/>
  <c r="G125" i="1"/>
  <c r="F125" i="1"/>
  <c r="H122" i="1"/>
  <c r="G122" i="1"/>
  <c r="F122" i="1"/>
  <c r="H81" i="1"/>
  <c r="G81" i="1"/>
  <c r="F81" i="1"/>
  <c r="H79" i="1"/>
  <c r="G79" i="1"/>
  <c r="F79" i="1"/>
  <c r="H54" i="1"/>
  <c r="G54" i="1"/>
  <c r="F54" i="1"/>
  <c r="H45" i="1"/>
  <c r="G45" i="1"/>
  <c r="F45" i="1"/>
  <c r="G42" i="1"/>
  <c r="F42" i="1"/>
  <c r="H42" i="1"/>
  <c r="H17" i="1"/>
  <c r="G17" i="1"/>
  <c r="F17" i="1"/>
  <c r="I401" i="1"/>
  <c r="I908" i="1"/>
  <c r="I1282" i="1"/>
  <c r="I1379" i="1"/>
  <c r="I1492" i="1"/>
  <c r="I49" i="1"/>
  <c r="N49" i="1"/>
  <c r="N75" i="1"/>
  <c r="N125" i="1"/>
  <c r="N136" i="1"/>
  <c r="N140" i="1"/>
  <c r="N235" i="1"/>
  <c r="N295" i="1"/>
  <c r="N401" i="1"/>
  <c r="N452" i="1"/>
  <c r="N591" i="1"/>
  <c r="N643" i="1"/>
  <c r="N644" i="1"/>
  <c r="N888" i="1"/>
  <c r="N908" i="1"/>
  <c r="N909" i="1"/>
  <c r="N956" i="1"/>
  <c r="N1186" i="1"/>
  <c r="N1256" i="1"/>
  <c r="N1282" i="1"/>
  <c r="N1345" i="1"/>
  <c r="N1347" i="1"/>
  <c r="N1398" i="1"/>
  <c r="N1492" i="1"/>
  <c r="E1563" i="1"/>
  <c r="D1563" i="1"/>
  <c r="E1562" i="1"/>
  <c r="D1562" i="1"/>
  <c r="E1534" i="1"/>
  <c r="D1534" i="1"/>
  <c r="E1494" i="1"/>
  <c r="D1494" i="1"/>
  <c r="E1492" i="1"/>
  <c r="D1492" i="1"/>
  <c r="E1487" i="1"/>
  <c r="D1487" i="1"/>
  <c r="E1486" i="1"/>
  <c r="E1483" i="1"/>
  <c r="E1469" i="1"/>
  <c r="E1465" i="1"/>
  <c r="E1450" i="1"/>
  <c r="E1449" i="1"/>
  <c r="E1447" i="1"/>
  <c r="E1444" i="1"/>
  <c r="E1432" i="1"/>
  <c r="D1432" i="1"/>
  <c r="E1403" i="1"/>
  <c r="E1398" i="1"/>
  <c r="E1384" i="1"/>
  <c r="D1384" i="1"/>
  <c r="E1379" i="1"/>
  <c r="D1379" i="1"/>
  <c r="E1355" i="1"/>
  <c r="D1355" i="1"/>
  <c r="E1352" i="1"/>
  <c r="E1349" i="1"/>
  <c r="D1349" i="1"/>
  <c r="E1348" i="1"/>
  <c r="D1348" i="1"/>
  <c r="E1347" i="1"/>
  <c r="D1347" i="1"/>
  <c r="E1345" i="1"/>
  <c r="D1345" i="1"/>
  <c r="E1344" i="1"/>
  <c r="E1343" i="1"/>
  <c r="E1338" i="1"/>
  <c r="E1335" i="1"/>
  <c r="D1335" i="1"/>
  <c r="E1325" i="1"/>
  <c r="E1324" i="1"/>
  <c r="D1324" i="1"/>
  <c r="E1321" i="1"/>
  <c r="E1320" i="1"/>
  <c r="E1303" i="1"/>
  <c r="E1287" i="1"/>
  <c r="D1287" i="1"/>
  <c r="E1283" i="1"/>
  <c r="E1282" i="1"/>
  <c r="D1282" i="1"/>
  <c r="E1277" i="1"/>
  <c r="D1277" i="1"/>
  <c r="E1276" i="1"/>
  <c r="E1274" i="1"/>
  <c r="D1274" i="1"/>
  <c r="E1269" i="1"/>
  <c r="E1256" i="1"/>
  <c r="D1256" i="1"/>
  <c r="E1252" i="1"/>
  <c r="D1252" i="1"/>
  <c r="E1249" i="1"/>
  <c r="D1249" i="1"/>
  <c r="E1219" i="1"/>
  <c r="E1197" i="1"/>
  <c r="E1196" i="1"/>
  <c r="D1196" i="1"/>
  <c r="E1195" i="1"/>
  <c r="E1188" i="1"/>
  <c r="D1188" i="1"/>
  <c r="E1186" i="1"/>
  <c r="D1186" i="1"/>
  <c r="E1179" i="1"/>
  <c r="D1179" i="1"/>
  <c r="E1130" i="1"/>
  <c r="D1130" i="1"/>
  <c r="E1121" i="1"/>
  <c r="E1106" i="1"/>
  <c r="D1106" i="1"/>
  <c r="E1094" i="1"/>
  <c r="D1094" i="1"/>
  <c r="E1070" i="1"/>
  <c r="D1070" i="1"/>
  <c r="E1061" i="1"/>
  <c r="D1061" i="1"/>
  <c r="E1036" i="1"/>
  <c r="D1036" i="1"/>
  <c r="E1028" i="1"/>
  <c r="D1028" i="1"/>
  <c r="E980" i="1"/>
  <c r="E974" i="1"/>
  <c r="E968" i="1"/>
  <c r="E967" i="1"/>
  <c r="E966" i="1"/>
  <c r="E965" i="1"/>
  <c r="E956" i="1"/>
  <c r="D956" i="1"/>
  <c r="E942" i="1"/>
  <c r="E921" i="1"/>
  <c r="D921" i="1"/>
  <c r="E917" i="1"/>
  <c r="E912" i="1"/>
  <c r="D912" i="1"/>
  <c r="E909" i="1"/>
  <c r="E908" i="1"/>
  <c r="D908" i="1"/>
  <c r="E888" i="1"/>
  <c r="E865" i="1"/>
  <c r="D865" i="1"/>
  <c r="E864" i="1"/>
  <c r="D864" i="1"/>
  <c r="E861" i="1"/>
  <c r="D861" i="1"/>
  <c r="E844" i="1"/>
  <c r="E843" i="1"/>
  <c r="E836" i="1"/>
  <c r="E835" i="1"/>
  <c r="D835" i="1"/>
  <c r="E830" i="1"/>
  <c r="D830" i="1"/>
  <c r="E819" i="1"/>
  <c r="D819" i="1"/>
  <c r="E807" i="1"/>
  <c r="D807" i="1"/>
  <c r="E785" i="1"/>
  <c r="D785" i="1"/>
  <c r="E772" i="1"/>
  <c r="D772" i="1"/>
  <c r="E754" i="1"/>
  <c r="D754" i="1"/>
  <c r="E799" i="1"/>
  <c r="E751" i="1"/>
  <c r="D751" i="1"/>
  <c r="E746" i="1"/>
  <c r="E742" i="1"/>
  <c r="D742" i="1"/>
  <c r="E725" i="1"/>
  <c r="D725" i="1"/>
  <c r="E722" i="1"/>
  <c r="D722" i="1"/>
  <c r="E719" i="1"/>
  <c r="D719" i="1"/>
  <c r="E717" i="1"/>
  <c r="D717" i="1"/>
  <c r="E715" i="1"/>
  <c r="D715" i="1"/>
  <c r="E703" i="1"/>
  <c r="D703" i="1"/>
  <c r="E684" i="1"/>
  <c r="E681" i="1"/>
  <c r="D681" i="1"/>
  <c r="E679" i="1"/>
  <c r="D679" i="1"/>
  <c r="E678" i="1"/>
  <c r="D678" i="1"/>
  <c r="E668" i="1"/>
  <c r="D668" i="1"/>
  <c r="E644" i="1"/>
  <c r="D644" i="1"/>
  <c r="E643" i="1"/>
  <c r="D643" i="1"/>
  <c r="E615" i="1"/>
  <c r="E635" i="1"/>
  <c r="E621" i="1"/>
  <c r="D621" i="1"/>
  <c r="E613" i="1"/>
  <c r="D613" i="1"/>
  <c r="E597" i="1"/>
  <c r="D597" i="1"/>
  <c r="E588" i="1"/>
  <c r="E713" i="1"/>
  <c r="E570" i="1"/>
  <c r="D570" i="1"/>
  <c r="E559" i="1"/>
  <c r="D559" i="1"/>
  <c r="E541" i="1"/>
  <c r="D541" i="1"/>
  <c r="E537" i="1"/>
  <c r="D537" i="1"/>
  <c r="E536" i="1"/>
  <c r="D536" i="1"/>
  <c r="E496" i="1"/>
  <c r="D496" i="1"/>
  <c r="E476" i="1"/>
  <c r="E470" i="1"/>
  <c r="E452" i="1"/>
  <c r="D429" i="1"/>
  <c r="E401" i="1"/>
  <c r="E358" i="1"/>
  <c r="D358" i="1"/>
  <c r="E343" i="1"/>
  <c r="D343" i="1"/>
  <c r="D334" i="1"/>
  <c r="E309" i="1"/>
  <c r="D256" i="1"/>
  <c r="E235" i="1"/>
  <c r="D235" i="1"/>
  <c r="E194" i="1"/>
  <c r="E193" i="1"/>
  <c r="D172" i="1"/>
  <c r="D145" i="1"/>
  <c r="E140" i="1"/>
  <c r="D140" i="1"/>
  <c r="E136" i="1"/>
  <c r="D136" i="1"/>
  <c r="E129" i="1"/>
  <c r="E125" i="1"/>
  <c r="D125" i="1"/>
  <c r="D122" i="1"/>
  <c r="E109" i="1"/>
  <c r="E95" i="1"/>
  <c r="D81" i="1"/>
  <c r="E79" i="1"/>
  <c r="D79" i="1"/>
  <c r="E75" i="1"/>
  <c r="E54" i="1"/>
  <c r="D54" i="1"/>
  <c r="E49" i="1"/>
  <c r="D49" i="1"/>
  <c r="E45" i="1"/>
  <c r="D45" i="1"/>
  <c r="E42" i="1"/>
  <c r="D42" i="1"/>
  <c r="M1563" i="1"/>
  <c r="L1563" i="1"/>
  <c r="K1563" i="1"/>
  <c r="M1558" i="1"/>
  <c r="L1558" i="1"/>
  <c r="K1558" i="1"/>
  <c r="M1552" i="1"/>
  <c r="L1552" i="1"/>
  <c r="K1552" i="1"/>
  <c r="M1524" i="1"/>
  <c r="L1524" i="1"/>
  <c r="K1524" i="1"/>
  <c r="M1507" i="1"/>
  <c r="L1507" i="1"/>
  <c r="K1507" i="1"/>
  <c r="M1505" i="1"/>
  <c r="L1505" i="1"/>
  <c r="K1505" i="1"/>
  <c r="M1443" i="1"/>
  <c r="L1443" i="1"/>
  <c r="K1443" i="1"/>
  <c r="M1309" i="1"/>
  <c r="L1309" i="1"/>
  <c r="K1309" i="1"/>
  <c r="M1307" i="1"/>
  <c r="L1307" i="1"/>
  <c r="K1307" i="1"/>
  <c r="M1249" i="1"/>
  <c r="L1249" i="1"/>
  <c r="K1249" i="1"/>
  <c r="M1048" i="1"/>
  <c r="L1048" i="1"/>
  <c r="K1048" i="1"/>
  <c r="M960" i="1"/>
  <c r="L960" i="1"/>
  <c r="K960" i="1"/>
  <c r="M931" i="1"/>
  <c r="L931" i="1"/>
  <c r="K931" i="1"/>
  <c r="M860" i="1"/>
  <c r="L860" i="1"/>
  <c r="K860" i="1"/>
  <c r="M809" i="1"/>
  <c r="L809" i="1"/>
  <c r="K809" i="1"/>
  <c r="M759" i="1"/>
  <c r="L759" i="1"/>
  <c r="K759" i="1"/>
  <c r="M712" i="1"/>
  <c r="L712" i="1"/>
  <c r="K712" i="1"/>
  <c r="M680" i="1"/>
  <c r="L680" i="1"/>
  <c r="K680" i="1"/>
  <c r="M655" i="1"/>
  <c r="L655" i="1"/>
  <c r="K655" i="1"/>
  <c r="M597" i="1"/>
  <c r="L597" i="1"/>
  <c r="K597" i="1"/>
  <c r="M518" i="1"/>
  <c r="L518" i="1"/>
  <c r="K518" i="1"/>
  <c r="M505" i="1"/>
  <c r="L505" i="1"/>
  <c r="K505" i="1"/>
  <c r="M362" i="1"/>
  <c r="L362" i="1"/>
  <c r="K362" i="1"/>
  <c r="M360" i="1"/>
  <c r="L360" i="1"/>
  <c r="K360" i="1"/>
  <c r="M357" i="1"/>
  <c r="L357" i="1"/>
  <c r="K357" i="1"/>
  <c r="M353" i="1"/>
  <c r="L353" i="1"/>
  <c r="K353" i="1"/>
  <c r="M351" i="1"/>
  <c r="L351" i="1"/>
  <c r="K351" i="1"/>
  <c r="M145" i="1"/>
  <c r="L145" i="1"/>
  <c r="K145" i="1"/>
  <c r="M135" i="1"/>
  <c r="L135" i="1"/>
  <c r="K135" i="1"/>
  <c r="K123" i="1"/>
  <c r="M115" i="1"/>
  <c r="L115" i="1"/>
  <c r="K115" i="1"/>
  <c r="N17" i="1"/>
  <c r="N126" i="1"/>
  <c r="N258" i="1"/>
  <c r="N628" i="1"/>
  <c r="N756" i="1"/>
  <c r="N859" i="1"/>
  <c r="N1278" i="1"/>
  <c r="N1509" i="1"/>
  <c r="N1564" i="1"/>
  <c r="M18" i="1"/>
  <c r="L18" i="1"/>
  <c r="K18" i="1"/>
  <c r="M7" i="1"/>
  <c r="L7" i="1"/>
  <c r="K7" i="1"/>
  <c r="H1558" i="1"/>
  <c r="G1558" i="1"/>
  <c r="F1558" i="1"/>
  <c r="H1552" i="1"/>
  <c r="G1552" i="1"/>
  <c r="F1552" i="1"/>
  <c r="H1524" i="1"/>
  <c r="G1524" i="1"/>
  <c r="F1524" i="1"/>
  <c r="H1507" i="1"/>
  <c r="G1507" i="1"/>
  <c r="F1507" i="1"/>
  <c r="H1505" i="1"/>
  <c r="G1505" i="1"/>
  <c r="F1505" i="1"/>
  <c r="H1443" i="1"/>
  <c r="G1443" i="1"/>
  <c r="F1443" i="1"/>
  <c r="H1417" i="1"/>
  <c r="G1417" i="1"/>
  <c r="F1417" i="1"/>
  <c r="H1309" i="1"/>
  <c r="G1309" i="1"/>
  <c r="F1309" i="1"/>
  <c r="H1307" i="1"/>
  <c r="G1307" i="1"/>
  <c r="F1307" i="1"/>
  <c r="H1278" i="1"/>
  <c r="G1278" i="1"/>
  <c r="F1278" i="1"/>
  <c r="H1070" i="1"/>
  <c r="G1070" i="1"/>
  <c r="F1070" i="1"/>
  <c r="H1048" i="1"/>
  <c r="G1048" i="1"/>
  <c r="F1048" i="1"/>
  <c r="G960" i="1"/>
  <c r="F960" i="1"/>
  <c r="H860" i="1"/>
  <c r="G860" i="1"/>
  <c r="F860" i="1"/>
  <c r="H859" i="1"/>
  <c r="G859" i="1"/>
  <c r="F859" i="1"/>
  <c r="H809" i="1"/>
  <c r="G809" i="1"/>
  <c r="F809" i="1"/>
  <c r="H759" i="1"/>
  <c r="G759" i="1"/>
  <c r="F759" i="1"/>
  <c r="H756" i="1"/>
  <c r="G756" i="1"/>
  <c r="F756" i="1"/>
  <c r="H680" i="1"/>
  <c r="G680" i="1"/>
  <c r="F680" i="1"/>
  <c r="H655" i="1"/>
  <c r="G655" i="1"/>
  <c r="F655" i="1"/>
  <c r="H628" i="1"/>
  <c r="G628" i="1"/>
  <c r="F628" i="1"/>
  <c r="H621" i="1"/>
  <c r="G621" i="1"/>
  <c r="F621" i="1"/>
  <c r="H532" i="1"/>
  <c r="G532" i="1"/>
  <c r="F532" i="1"/>
  <c r="H518" i="1"/>
  <c r="G518" i="1"/>
  <c r="F518" i="1"/>
  <c r="H505" i="1"/>
  <c r="G505" i="1"/>
  <c r="F505" i="1"/>
  <c r="H362" i="1"/>
  <c r="G362" i="1"/>
  <c r="F362" i="1"/>
  <c r="H360" i="1"/>
  <c r="G360" i="1"/>
  <c r="F360" i="1"/>
  <c r="H357" i="1"/>
  <c r="G357" i="1"/>
  <c r="F357" i="1"/>
  <c r="H353" i="1"/>
  <c r="G353" i="1"/>
  <c r="F353" i="1"/>
  <c r="G351" i="1"/>
  <c r="F351" i="1"/>
  <c r="H340" i="1"/>
  <c r="G340" i="1"/>
  <c r="F340" i="1"/>
  <c r="H335" i="1"/>
  <c r="G335" i="1"/>
  <c r="F335" i="1"/>
  <c r="H258" i="1"/>
  <c r="G258" i="1"/>
  <c r="F258" i="1"/>
  <c r="H222" i="1"/>
  <c r="G222" i="1"/>
  <c r="F222" i="1"/>
  <c r="H135" i="1"/>
  <c r="G135" i="1"/>
  <c r="F135" i="1"/>
  <c r="H126" i="1"/>
  <c r="G126" i="1"/>
  <c r="F126" i="1"/>
  <c r="G115" i="1"/>
  <c r="F115" i="1"/>
  <c r="H18" i="1"/>
  <c r="G18" i="1"/>
  <c r="F18" i="1"/>
  <c r="H7" i="1"/>
  <c r="G7" i="1"/>
  <c r="F7" i="1"/>
  <c r="I712" i="1"/>
  <c r="E1558" i="1"/>
  <c r="D1558" i="1"/>
  <c r="E1552" i="1"/>
  <c r="D1552" i="1"/>
  <c r="E1524" i="1"/>
  <c r="D1524" i="1"/>
  <c r="E1509" i="1"/>
  <c r="E1507" i="1"/>
  <c r="D1507" i="1"/>
  <c r="E1505" i="1"/>
  <c r="D1505" i="1"/>
  <c r="E1443" i="1"/>
  <c r="D1443" i="1"/>
  <c r="E1417" i="1"/>
  <c r="D1417" i="1"/>
  <c r="E1309" i="1"/>
  <c r="D1309" i="1"/>
  <c r="E1307" i="1"/>
  <c r="D1307" i="1"/>
  <c r="E1298" i="1"/>
  <c r="E1278" i="1"/>
  <c r="D1278" i="1"/>
  <c r="E1248" i="1"/>
  <c r="D1248" i="1"/>
  <c r="E1048" i="1"/>
  <c r="D1048" i="1"/>
  <c r="E960" i="1"/>
  <c r="D960" i="1"/>
  <c r="E860" i="1"/>
  <c r="D860" i="1"/>
  <c r="E859" i="1"/>
  <c r="D859" i="1"/>
  <c r="E809" i="1"/>
  <c r="D809" i="1"/>
  <c r="E759" i="1"/>
  <c r="D759" i="1"/>
  <c r="E756" i="1"/>
  <c r="D756" i="1"/>
  <c r="E730" i="1"/>
  <c r="E712" i="1"/>
  <c r="D712" i="1"/>
  <c r="E680" i="1"/>
  <c r="D680" i="1"/>
  <c r="E655" i="1"/>
  <c r="D655" i="1"/>
  <c r="E628" i="1"/>
  <c r="D628" i="1"/>
  <c r="E540" i="1"/>
  <c r="D540" i="1"/>
  <c r="E532" i="1"/>
  <c r="D532" i="1"/>
  <c r="E518" i="1"/>
  <c r="D518" i="1"/>
  <c r="E505" i="1"/>
  <c r="D505" i="1"/>
  <c r="E438" i="1"/>
  <c r="D438" i="1"/>
  <c r="E362" i="1"/>
  <c r="D362" i="1"/>
  <c r="E360" i="1"/>
  <c r="D360" i="1"/>
  <c r="E357" i="1"/>
  <c r="D357" i="1"/>
  <c r="E353" i="1"/>
  <c r="D353" i="1"/>
  <c r="E351" i="1"/>
  <c r="D351" i="1"/>
  <c r="E340" i="1"/>
  <c r="D340" i="1"/>
  <c r="E335" i="1"/>
  <c r="E336" i="1"/>
  <c r="D335" i="1"/>
  <c r="E334" i="1"/>
  <c r="E324" i="1"/>
  <c r="E260" i="1"/>
  <c r="E258" i="1"/>
  <c r="D258" i="1"/>
  <c r="E256" i="1"/>
  <c r="E242" i="1"/>
  <c r="E240" i="1"/>
  <c r="E239" i="1"/>
  <c r="D222" i="1"/>
  <c r="E145" i="1"/>
  <c r="E135" i="1"/>
  <c r="D135" i="1"/>
  <c r="E127" i="1"/>
  <c r="E126" i="1"/>
  <c r="D126" i="1"/>
  <c r="E115" i="1"/>
  <c r="D115" i="1"/>
  <c r="E94" i="1"/>
  <c r="E23" i="1"/>
  <c r="D18" i="1"/>
  <c r="E17" i="1"/>
  <c r="D17" i="1"/>
  <c r="E9" i="1"/>
  <c r="E7" i="1"/>
  <c r="D7" i="1"/>
  <c r="M1454" i="1"/>
  <c r="L1454" i="1"/>
  <c r="K1454" i="1"/>
  <c r="M1448" i="1"/>
  <c r="L1448" i="1"/>
  <c r="K1448" i="1"/>
  <c r="M1432" i="1"/>
  <c r="L1432" i="1"/>
  <c r="K1432" i="1"/>
  <c r="M1408" i="1"/>
  <c r="L1408" i="1"/>
  <c r="M1392" i="1"/>
  <c r="L1392" i="1"/>
  <c r="K1392" i="1"/>
  <c r="M1378" i="1"/>
  <c r="L1378" i="1"/>
  <c r="K1378" i="1"/>
  <c r="M1299" i="1"/>
  <c r="L1299" i="1"/>
  <c r="K1299" i="1"/>
  <c r="M1239" i="1"/>
  <c r="L1239" i="1"/>
  <c r="K1239" i="1"/>
  <c r="M1170" i="1"/>
  <c r="L1170" i="1"/>
  <c r="K1170" i="1"/>
  <c r="M1138" i="1"/>
  <c r="L1138" i="1"/>
  <c r="K1138" i="1"/>
  <c r="M1104" i="1"/>
  <c r="L1104" i="1"/>
  <c r="K1104" i="1"/>
  <c r="M1069" i="1"/>
  <c r="L1069" i="1"/>
  <c r="K1069" i="1"/>
  <c r="K1052" i="1"/>
  <c r="M1023" i="1"/>
  <c r="L1023" i="1"/>
  <c r="K1023" i="1"/>
  <c r="M944" i="1"/>
  <c r="L944" i="1"/>
  <c r="K944" i="1"/>
  <c r="M905" i="1"/>
  <c r="L905" i="1"/>
  <c r="K905" i="1"/>
  <c r="M894" i="1"/>
  <c r="L894" i="1"/>
  <c r="K894" i="1"/>
  <c r="M892" i="1"/>
  <c r="L892" i="1"/>
  <c r="K892" i="1"/>
  <c r="M820" i="1"/>
  <c r="L820" i="1"/>
  <c r="K820" i="1"/>
  <c r="M817" i="1"/>
  <c r="L817" i="1"/>
  <c r="K817" i="1"/>
  <c r="M760" i="1"/>
  <c r="L760" i="1"/>
  <c r="K760" i="1"/>
  <c r="M716" i="1"/>
  <c r="L716" i="1"/>
  <c r="K716" i="1"/>
  <c r="M656" i="1"/>
  <c r="L656" i="1"/>
  <c r="K656" i="1"/>
  <c r="M621" i="1"/>
  <c r="L621" i="1"/>
  <c r="K621" i="1"/>
  <c r="M589" i="1"/>
  <c r="L589" i="1"/>
  <c r="K589" i="1"/>
  <c r="M562" i="1"/>
  <c r="L562" i="1"/>
  <c r="K562" i="1"/>
  <c r="M443" i="1"/>
  <c r="L443" i="1"/>
  <c r="K443" i="1"/>
  <c r="M438" i="1"/>
  <c r="L438" i="1"/>
  <c r="K438" i="1"/>
  <c r="M368" i="1"/>
  <c r="L368" i="1"/>
  <c r="K368" i="1"/>
  <c r="M343" i="1"/>
  <c r="L343" i="1"/>
  <c r="K343" i="1"/>
  <c r="M340" i="1"/>
  <c r="L340" i="1"/>
  <c r="K340" i="1"/>
  <c r="M339" i="1"/>
  <c r="L339" i="1"/>
  <c r="K339" i="1"/>
  <c r="M335" i="1"/>
  <c r="L335" i="1"/>
  <c r="K335" i="1"/>
  <c r="M267" i="1"/>
  <c r="L267" i="1"/>
  <c r="K267" i="1"/>
  <c r="M266" i="1"/>
  <c r="L266" i="1"/>
  <c r="K266" i="1"/>
  <c r="M263" i="1"/>
  <c r="L263" i="1"/>
  <c r="K263" i="1"/>
  <c r="M253" i="1"/>
  <c r="L253" i="1"/>
  <c r="K253" i="1"/>
  <c r="M222" i="1"/>
  <c r="L222" i="1"/>
  <c r="K222" i="1"/>
  <c r="M121" i="1"/>
  <c r="L121" i="1"/>
  <c r="K121" i="1"/>
  <c r="N35" i="1"/>
  <c r="M11" i="1"/>
  <c r="L11" i="1"/>
  <c r="K11" i="1"/>
  <c r="H1495" i="1"/>
  <c r="G1495" i="1"/>
  <c r="F1495" i="1"/>
  <c r="H1454" i="1"/>
  <c r="G1454" i="1"/>
  <c r="F1454" i="1"/>
  <c r="H1448" i="1"/>
  <c r="G1448" i="1"/>
  <c r="F1448" i="1"/>
  <c r="H1392" i="1"/>
  <c r="G1392" i="1"/>
  <c r="F1392" i="1"/>
  <c r="H1378" i="1"/>
  <c r="G1378" i="1"/>
  <c r="F1378" i="1"/>
  <c r="H1341" i="1"/>
  <c r="G1341" i="1"/>
  <c r="F1341" i="1"/>
  <c r="H1301" i="1"/>
  <c r="G1301" i="1"/>
  <c r="F1301" i="1"/>
  <c r="H1299" i="1"/>
  <c r="G1299" i="1"/>
  <c r="F1299" i="1"/>
  <c r="H1239" i="1"/>
  <c r="G1239" i="1"/>
  <c r="F1239" i="1"/>
  <c r="H1170" i="1"/>
  <c r="G1170" i="1"/>
  <c r="F1170" i="1"/>
  <c r="H1138" i="1"/>
  <c r="G1138" i="1"/>
  <c r="F1138" i="1"/>
  <c r="H1104" i="1"/>
  <c r="G1104" i="1"/>
  <c r="F1104" i="1"/>
  <c r="H1069" i="1"/>
  <c r="G1069" i="1"/>
  <c r="F1069" i="1"/>
  <c r="G1027" i="1"/>
  <c r="H1026" i="1"/>
  <c r="G1026" i="1"/>
  <c r="F1026" i="1"/>
  <c r="H944" i="1"/>
  <c r="G944" i="1"/>
  <c r="F944" i="1"/>
  <c r="H905" i="1"/>
  <c r="G905" i="1"/>
  <c r="F905" i="1"/>
  <c r="H894" i="1"/>
  <c r="G894" i="1"/>
  <c r="F894" i="1"/>
  <c r="H882" i="1"/>
  <c r="G882" i="1"/>
  <c r="F882" i="1"/>
  <c r="H820" i="1"/>
  <c r="G820" i="1"/>
  <c r="F820" i="1"/>
  <c r="H817" i="1"/>
  <c r="G817" i="1"/>
  <c r="F817" i="1"/>
  <c r="H783" i="1"/>
  <c r="G783" i="1"/>
  <c r="F783" i="1"/>
  <c r="H760" i="1"/>
  <c r="G760" i="1"/>
  <c r="F760" i="1"/>
  <c r="H736" i="1"/>
  <c r="G736" i="1"/>
  <c r="F736" i="1"/>
  <c r="H716" i="1"/>
  <c r="G716" i="1"/>
  <c r="F716" i="1"/>
  <c r="H656" i="1"/>
  <c r="G656" i="1"/>
  <c r="F656" i="1"/>
  <c r="H589" i="1"/>
  <c r="G589" i="1"/>
  <c r="F589" i="1"/>
  <c r="H562" i="1"/>
  <c r="G562" i="1"/>
  <c r="F562" i="1"/>
  <c r="H443" i="1"/>
  <c r="G443" i="1"/>
  <c r="F443" i="1"/>
  <c r="H438" i="1"/>
  <c r="G438" i="1"/>
  <c r="F438" i="1"/>
  <c r="H347" i="1"/>
  <c r="G347" i="1"/>
  <c r="F347" i="1"/>
  <c r="H339" i="1"/>
  <c r="G339" i="1"/>
  <c r="F339" i="1"/>
  <c r="H326" i="1"/>
  <c r="G326" i="1"/>
  <c r="F326" i="1"/>
  <c r="H311" i="1"/>
  <c r="G311" i="1"/>
  <c r="F311" i="1"/>
  <c r="H267" i="1"/>
  <c r="G267" i="1"/>
  <c r="F267" i="1"/>
  <c r="H266" i="1"/>
  <c r="G266" i="1"/>
  <c r="F266" i="1"/>
  <c r="H253" i="1"/>
  <c r="G253" i="1"/>
  <c r="F253" i="1"/>
  <c r="H141" i="1"/>
  <c r="G141" i="1"/>
  <c r="F141" i="1"/>
  <c r="H121" i="1"/>
  <c r="G121" i="1"/>
  <c r="F121" i="1"/>
  <c r="H35" i="1"/>
  <c r="G35" i="1"/>
  <c r="H11" i="1"/>
  <c r="G11" i="1"/>
  <c r="F11" i="1"/>
  <c r="N1569" i="1"/>
  <c r="I1569" i="1"/>
  <c r="E1514" i="1"/>
  <c r="D1514" i="1"/>
  <c r="N1495" i="1"/>
  <c r="N1565" i="1"/>
  <c r="N1086" i="1"/>
  <c r="N585" i="1"/>
  <c r="N1567" i="1"/>
  <c r="N1568" i="1"/>
  <c r="I1565" i="1"/>
  <c r="I1203" i="1"/>
  <c r="I1086" i="1"/>
  <c r="I585" i="1"/>
  <c r="I1567" i="1"/>
  <c r="I1568" i="1"/>
  <c r="E1495" i="1"/>
  <c r="D1495" i="1"/>
  <c r="E1454" i="1"/>
  <c r="D1454" i="1"/>
  <c r="E1448" i="1"/>
  <c r="D1448" i="1"/>
  <c r="E1392" i="1"/>
  <c r="D1392" i="1"/>
  <c r="E1378" i="1"/>
  <c r="D1378" i="1"/>
  <c r="E1341" i="1"/>
  <c r="D1341" i="1"/>
  <c r="E1301" i="1"/>
  <c r="D1301" i="1"/>
  <c r="N517" i="1"/>
  <c r="N532" i="1"/>
  <c r="N559" i="1"/>
  <c r="N736" i="1"/>
  <c r="N882" i="1"/>
  <c r="N1026" i="1"/>
  <c r="N1301" i="1"/>
  <c r="N1341" i="1"/>
  <c r="E1299" i="1"/>
  <c r="D1299" i="1"/>
  <c r="E1239" i="1"/>
  <c r="D1239" i="1"/>
  <c r="E1170" i="1"/>
  <c r="D1170" i="1"/>
  <c r="E1138" i="1"/>
  <c r="D1138" i="1"/>
  <c r="E1104" i="1"/>
  <c r="D1104" i="1"/>
  <c r="E1069" i="1"/>
  <c r="D1069" i="1"/>
  <c r="E1027" i="1"/>
  <c r="D1027" i="1"/>
  <c r="E1026" i="1"/>
  <c r="D1026" i="1"/>
  <c r="E1013" i="1"/>
  <c r="D1013" i="1"/>
  <c r="E944" i="1"/>
  <c r="D944" i="1"/>
  <c r="E905" i="1"/>
  <c r="D905" i="1"/>
  <c r="E894" i="1"/>
  <c r="D894" i="1"/>
  <c r="E892" i="1"/>
  <c r="D892" i="1"/>
  <c r="E882" i="1"/>
  <c r="D882" i="1"/>
  <c r="E849" i="1"/>
  <c r="E820" i="1"/>
  <c r="D820" i="1"/>
  <c r="E817" i="1"/>
  <c r="D817" i="1"/>
  <c r="E783" i="1"/>
  <c r="D783" i="1"/>
  <c r="E760" i="1"/>
  <c r="D760" i="1"/>
  <c r="E736" i="1"/>
  <c r="D736" i="1"/>
  <c r="I892" i="1"/>
  <c r="E716" i="1"/>
  <c r="D716" i="1"/>
  <c r="E656" i="1"/>
  <c r="D656" i="1"/>
  <c r="E589" i="1"/>
  <c r="D589" i="1"/>
  <c r="E562" i="1"/>
  <c r="D562" i="1"/>
  <c r="E517" i="1"/>
  <c r="D517" i="1"/>
  <c r="E443" i="1"/>
  <c r="D443" i="1"/>
  <c r="E439" i="1"/>
  <c r="E311" i="1"/>
  <c r="I517" i="1"/>
  <c r="E368" i="1"/>
  <c r="D368" i="1"/>
  <c r="E347" i="1"/>
  <c r="D347" i="1"/>
  <c r="D339" i="1"/>
  <c r="E326" i="1"/>
  <c r="D326" i="1"/>
  <c r="D311" i="1"/>
  <c r="E277" i="1"/>
  <c r="N311" i="1"/>
  <c r="N326" i="1"/>
  <c r="N347" i="1"/>
  <c r="N437" i="1"/>
  <c r="I368" i="1"/>
  <c r="D267" i="1"/>
  <c r="D266" i="1"/>
  <c r="E263" i="1"/>
  <c r="D263" i="1"/>
  <c r="E253" i="1"/>
  <c r="D253" i="1"/>
  <c r="E222" i="1"/>
  <c r="E150" i="1"/>
  <c r="D150" i="1"/>
  <c r="E141" i="1"/>
  <c r="D141" i="1"/>
  <c r="E131" i="1"/>
  <c r="E121" i="1"/>
  <c r="D121" i="1"/>
  <c r="E59" i="1"/>
  <c r="E35" i="1"/>
  <c r="D35" i="1"/>
  <c r="D11" i="1"/>
  <c r="M1238" i="1"/>
  <c r="L1238" i="1"/>
  <c r="K1238" i="1"/>
  <c r="H1238" i="1"/>
  <c r="G1238" i="1"/>
  <c r="F1238" i="1"/>
  <c r="D1238" i="1"/>
  <c r="I1074" i="1"/>
  <c r="N1074" i="1"/>
  <c r="M1561" i="1"/>
  <c r="L1561" i="1"/>
  <c r="K1561" i="1"/>
  <c r="M1522" i="1"/>
  <c r="L1522" i="1"/>
  <c r="K1522" i="1"/>
  <c r="M1477" i="1"/>
  <c r="L1477" i="1"/>
  <c r="K1477" i="1"/>
  <c r="M1417" i="1"/>
  <c r="L1417" i="1"/>
  <c r="K1417" i="1"/>
  <c r="M1286" i="1"/>
  <c r="L1286" i="1"/>
  <c r="K1286" i="1"/>
  <c r="M1179" i="1"/>
  <c r="L1179" i="1"/>
  <c r="K1179" i="1"/>
  <c r="M1073" i="1"/>
  <c r="L1073" i="1"/>
  <c r="K1073" i="1"/>
  <c r="L721" i="1"/>
  <c r="N721" i="1" s="1"/>
  <c r="K721" i="1"/>
  <c r="M463" i="1"/>
  <c r="L463" i="1"/>
  <c r="K463" i="1"/>
  <c r="M439" i="1"/>
  <c r="L439" i="1"/>
  <c r="K439" i="1"/>
  <c r="M427" i="1"/>
  <c r="L427" i="1"/>
  <c r="K427" i="1"/>
  <c r="M150" i="1"/>
  <c r="L150" i="1"/>
  <c r="K150" i="1"/>
  <c r="M31" i="1"/>
  <c r="L31" i="1"/>
  <c r="K31" i="1"/>
  <c r="M34" i="1"/>
  <c r="L34" i="1"/>
  <c r="K34" i="1"/>
  <c r="M30" i="1"/>
  <c r="L30" i="1"/>
  <c r="K30" i="1"/>
  <c r="H1561" i="1"/>
  <c r="G1561" i="1"/>
  <c r="F1561" i="1"/>
  <c r="H1522" i="1"/>
  <c r="G1522" i="1"/>
  <c r="F1522" i="1"/>
  <c r="H1477" i="1"/>
  <c r="G1477" i="1"/>
  <c r="F1477" i="1"/>
  <c r="H1286" i="1"/>
  <c r="G1286" i="1"/>
  <c r="F1286" i="1"/>
  <c r="H744" i="1"/>
  <c r="G744" i="1"/>
  <c r="F744" i="1"/>
  <c r="H737" i="1"/>
  <c r="G737" i="1"/>
  <c r="F737" i="1"/>
  <c r="H721" i="1"/>
  <c r="G721" i="1"/>
  <c r="F721" i="1"/>
  <c r="G540" i="1"/>
  <c r="F540" i="1"/>
  <c r="H463" i="1"/>
  <c r="G463" i="1"/>
  <c r="F463" i="1"/>
  <c r="H439" i="1"/>
  <c r="G439" i="1"/>
  <c r="F439" i="1"/>
  <c r="H427" i="1"/>
  <c r="G427" i="1"/>
  <c r="F427" i="1"/>
  <c r="H393" i="1"/>
  <c r="G393" i="1"/>
  <c r="F393" i="1"/>
  <c r="H150" i="1"/>
  <c r="F150" i="1"/>
  <c r="H31" i="1"/>
  <c r="G31" i="1"/>
  <c r="F31" i="1"/>
  <c r="H30" i="1"/>
  <c r="G30" i="1"/>
  <c r="F30" i="1"/>
  <c r="J11" i="1"/>
  <c r="N315" i="1"/>
  <c r="N737" i="1"/>
  <c r="N783" i="1"/>
  <c r="N1054" i="1"/>
  <c r="N141" i="1"/>
  <c r="N1570" i="1"/>
  <c r="N1571" i="1"/>
  <c r="I315" i="1"/>
  <c r="I1054" i="1"/>
  <c r="I1073" i="1"/>
  <c r="I1570" i="1"/>
  <c r="I1571" i="1"/>
  <c r="E1561" i="1"/>
  <c r="D1561" i="1"/>
  <c r="D1535" i="1"/>
  <c r="E1522" i="1"/>
  <c r="D1522" i="1"/>
  <c r="E1477" i="1"/>
  <c r="D1477" i="1"/>
  <c r="E1286" i="1"/>
  <c r="D1286" i="1"/>
  <c r="E1238" i="1"/>
  <c r="E1073" i="1"/>
  <c r="D1073" i="1"/>
  <c r="E1054" i="1"/>
  <c r="E744" i="1"/>
  <c r="D744" i="1"/>
  <c r="E737" i="1"/>
  <c r="D737" i="1"/>
  <c r="E721" i="1"/>
  <c r="D721" i="1"/>
  <c r="E463" i="1"/>
  <c r="D463" i="1"/>
  <c r="D439" i="1"/>
  <c r="E429" i="1"/>
  <c r="E427" i="1"/>
  <c r="D427" i="1"/>
  <c r="E393" i="1"/>
  <c r="D393" i="1"/>
  <c r="E339" i="1"/>
  <c r="E315" i="1"/>
  <c r="D315" i="1"/>
  <c r="E122" i="1"/>
  <c r="E81" i="1"/>
  <c r="E11" i="1"/>
  <c r="D31" i="1"/>
  <c r="D30" i="1"/>
  <c r="L10" i="1"/>
  <c r="L12" i="1"/>
  <c r="L20" i="1"/>
  <c r="L27" i="1"/>
  <c r="L41" i="1"/>
  <c r="L46" i="1"/>
  <c r="L50" i="1"/>
  <c r="L57" i="1"/>
  <c r="L61" i="1"/>
  <c r="L64" i="1"/>
  <c r="L68" i="1"/>
  <c r="L80" i="1"/>
  <c r="L84" i="1"/>
  <c r="L85" i="1"/>
  <c r="L87" i="1"/>
  <c r="L88" i="1"/>
  <c r="L89" i="1"/>
  <c r="L90" i="1"/>
  <c r="L96" i="1"/>
  <c r="L106" i="1"/>
  <c r="L111" i="1"/>
  <c r="L120" i="1"/>
  <c r="L123" i="1"/>
  <c r="L133" i="1"/>
  <c r="L147" i="1"/>
  <c r="L152" i="1"/>
  <c r="L156" i="1"/>
  <c r="L157" i="1"/>
  <c r="L162" i="1"/>
  <c r="L165" i="1"/>
  <c r="L166" i="1"/>
  <c r="L167" i="1"/>
  <c r="L168" i="1"/>
  <c r="L172" i="1"/>
  <c r="L183" i="1"/>
  <c r="L184" i="1"/>
  <c r="L185" i="1"/>
  <c r="L189" i="1"/>
  <c r="L190" i="1"/>
  <c r="L192" i="1"/>
  <c r="L195" i="1"/>
  <c r="L199" i="1"/>
  <c r="N199" i="1" s="1"/>
  <c r="L202" i="1"/>
  <c r="L204" i="1"/>
  <c r="L214" i="1"/>
  <c r="L217" i="1"/>
  <c r="L218" i="1"/>
  <c r="L224" i="1"/>
  <c r="L225" i="1"/>
  <c r="L226" i="1"/>
  <c r="L228" i="1"/>
  <c r="L231" i="1"/>
  <c r="L232" i="1"/>
  <c r="L236" i="1"/>
  <c r="L243" i="1"/>
  <c r="L265" i="1"/>
  <c r="L272" i="1"/>
  <c r="L273" i="1"/>
  <c r="L275" i="1"/>
  <c r="L276" i="1"/>
  <c r="L281" i="1"/>
  <c r="L288" i="1"/>
  <c r="L291" i="1"/>
  <c r="L294" i="1"/>
  <c r="L300" i="1"/>
  <c r="L302" i="1"/>
  <c r="L306" i="1"/>
  <c r="L308" i="1"/>
  <c r="L312" i="1"/>
  <c r="L319" i="1"/>
  <c r="L327" i="1"/>
  <c r="L331" i="1"/>
  <c r="L332" i="1"/>
  <c r="L333" i="1"/>
  <c r="L349" i="1"/>
  <c r="L350" i="1"/>
  <c r="L354" i="1"/>
  <c r="L363" i="1"/>
  <c r="L364" i="1"/>
  <c r="L365" i="1"/>
  <c r="L372" i="1"/>
  <c r="L377" i="1"/>
  <c r="L378" i="1"/>
  <c r="L379" i="1"/>
  <c r="L380" i="1"/>
  <c r="L382" i="1"/>
  <c r="L384" i="1"/>
  <c r="L386" i="1"/>
  <c r="L388" i="1"/>
  <c r="L391" i="1"/>
  <c r="L392" i="1"/>
  <c r="L393" i="1"/>
  <c r="L394" i="1"/>
  <c r="L395" i="1"/>
  <c r="L397" i="1"/>
  <c r="L398" i="1"/>
  <c r="L399" i="1"/>
  <c r="L400" i="1"/>
  <c r="L405" i="1"/>
  <c r="L406" i="1"/>
  <c r="L407" i="1"/>
  <c r="L408" i="1"/>
  <c r="L409" i="1"/>
  <c r="L410" i="1"/>
  <c r="L411" i="1"/>
  <c r="L412" i="1"/>
  <c r="L416" i="1"/>
  <c r="L419" i="1"/>
  <c r="L420" i="1"/>
  <c r="L421" i="1"/>
  <c r="L426" i="1"/>
  <c r="L428" i="1"/>
  <c r="L432" i="1"/>
  <c r="L445" i="1"/>
  <c r="L448" i="1"/>
  <c r="L455" i="1"/>
  <c r="L456" i="1"/>
  <c r="L458" i="1"/>
  <c r="L460" i="1"/>
  <c r="L461" i="1"/>
  <c r="L462" i="1"/>
  <c r="L467" i="1"/>
  <c r="L475" i="1"/>
  <c r="L478" i="1"/>
  <c r="L480" i="1"/>
  <c r="L483" i="1"/>
  <c r="L486" i="1"/>
  <c r="L487" i="1"/>
  <c r="L488" i="1"/>
  <c r="L492" i="1"/>
  <c r="L493" i="1"/>
  <c r="L494" i="1"/>
  <c r="L495" i="1"/>
  <c r="L497" i="1"/>
  <c r="L498" i="1"/>
  <c r="L499" i="1"/>
  <c r="L500" i="1"/>
  <c r="L508" i="1"/>
  <c r="L511" i="1"/>
  <c r="L512" i="1"/>
  <c r="L513" i="1"/>
  <c r="L514" i="1"/>
  <c r="L515" i="1"/>
  <c r="L519" i="1"/>
  <c r="L521" i="1"/>
  <c r="L527" i="1"/>
  <c r="L538" i="1"/>
  <c r="L543" i="1"/>
  <c r="L548" i="1"/>
  <c r="L552" i="1"/>
  <c r="L563" i="1"/>
  <c r="L564" i="1"/>
  <c r="L568" i="1"/>
  <c r="L573" i="1"/>
  <c r="L575" i="1"/>
  <c r="L580" i="1"/>
  <c r="L586" i="1"/>
  <c r="L587" i="1"/>
  <c r="L595" i="1"/>
  <c r="L596" i="1"/>
  <c r="L600" i="1"/>
  <c r="L608" i="1"/>
  <c r="L611" i="1"/>
  <c r="L618" i="1"/>
  <c r="L623" i="1"/>
  <c r="L624" i="1"/>
  <c r="L626" i="1"/>
  <c r="L627" i="1"/>
  <c r="L633" i="1"/>
  <c r="L634" i="1"/>
  <c r="L636" i="1"/>
  <c r="L637" i="1"/>
  <c r="L638" i="1"/>
  <c r="L640" i="1"/>
  <c r="L642" i="1"/>
  <c r="L653" i="1"/>
  <c r="L654" i="1"/>
  <c r="L658" i="1"/>
  <c r="L670" i="1"/>
  <c r="L671" i="1"/>
  <c r="L672" i="1"/>
  <c r="L677" i="1"/>
  <c r="L687" i="1"/>
  <c r="L688" i="1"/>
  <c r="L690" i="1"/>
  <c r="L692" i="1"/>
  <c r="L694" i="1"/>
  <c r="L695" i="1"/>
  <c r="L699" i="1"/>
  <c r="L706" i="1"/>
  <c r="L707" i="1"/>
  <c r="L714" i="1"/>
  <c r="L728" i="1"/>
  <c r="L732" i="1"/>
  <c r="L734" i="1"/>
  <c r="L741" i="1"/>
  <c r="L745" i="1"/>
  <c r="L755" i="1"/>
  <c r="L767" i="1"/>
  <c r="L768" i="1"/>
  <c r="L774" i="1"/>
  <c r="L781" i="1"/>
  <c r="L788" i="1"/>
  <c r="L789" i="1"/>
  <c r="L792" i="1"/>
  <c r="L796" i="1"/>
  <c r="L801" i="1"/>
  <c r="L802" i="1"/>
  <c r="L804" i="1"/>
  <c r="L813" i="1"/>
  <c r="L816" i="1"/>
  <c r="L822" i="1"/>
  <c r="L823" i="1"/>
  <c r="L825" i="1"/>
  <c r="L833" i="1"/>
  <c r="L838" i="1"/>
  <c r="L847" i="1"/>
  <c r="L848" i="1"/>
  <c r="L851" i="1"/>
  <c r="L852" i="1"/>
  <c r="L853" i="1"/>
  <c r="L858" i="1"/>
  <c r="L863" i="1"/>
  <c r="L864" i="1"/>
  <c r="L871" i="1"/>
  <c r="L875" i="1"/>
  <c r="L876" i="1"/>
  <c r="L877" i="1"/>
  <c r="L879" i="1"/>
  <c r="L884" i="1"/>
  <c r="L893" i="1"/>
  <c r="L895" i="1"/>
  <c r="L899" i="1"/>
  <c r="L900" i="1"/>
  <c r="L901" i="1"/>
  <c r="L904" i="1"/>
  <c r="L906" i="1"/>
  <c r="L923" i="1"/>
  <c r="L924" i="1"/>
  <c r="L925" i="1"/>
  <c r="L926" i="1"/>
  <c r="L927" i="1"/>
  <c r="L932" i="1"/>
  <c r="L933" i="1"/>
  <c r="L939" i="1"/>
  <c r="L946" i="1"/>
  <c r="L947" i="1"/>
  <c r="L950" i="1"/>
  <c r="L958" i="1"/>
  <c r="L962" i="1"/>
  <c r="L970" i="1"/>
  <c r="L971" i="1"/>
  <c r="L972" i="1"/>
  <c r="L973" i="1"/>
  <c r="L975" i="1"/>
  <c r="L976" i="1"/>
  <c r="L979" i="1"/>
  <c r="L981" i="1"/>
  <c r="L983" i="1"/>
  <c r="L984" i="1"/>
  <c r="L986" i="1"/>
  <c r="L992" i="1"/>
  <c r="L1007" i="1"/>
  <c r="L1009" i="1"/>
  <c r="L1013" i="1"/>
  <c r="L1025" i="1"/>
  <c r="L1030" i="1"/>
  <c r="L1047" i="1"/>
  <c r="L1052" i="1"/>
  <c r="L1053" i="1"/>
  <c r="L1055" i="1"/>
  <c r="L1056" i="1"/>
  <c r="L1062" i="1"/>
  <c r="L1066" i="1"/>
  <c r="L1071" i="1"/>
  <c r="L1076" i="1"/>
  <c r="L1079" i="1"/>
  <c r="L1081" i="1"/>
  <c r="L1082" i="1"/>
  <c r="L1085" i="1"/>
  <c r="L1091" i="1"/>
  <c r="L1092" i="1"/>
  <c r="L1093" i="1"/>
  <c r="L1095" i="1"/>
  <c r="L1096" i="1"/>
  <c r="L1097" i="1"/>
  <c r="L1098" i="1"/>
  <c r="L1101" i="1"/>
  <c r="N1101" i="1" s="1"/>
  <c r="L1108" i="1"/>
  <c r="L1116" i="1"/>
  <c r="L1117" i="1"/>
  <c r="L1122" i="1"/>
  <c r="L1124" i="1"/>
  <c r="L1125" i="1"/>
  <c r="L1126" i="1"/>
  <c r="L1127" i="1"/>
  <c r="L1128" i="1"/>
  <c r="L1135" i="1"/>
  <c r="L1143" i="1"/>
  <c r="L1148" i="1"/>
  <c r="L1150" i="1"/>
  <c r="L1151" i="1"/>
  <c r="L1154" i="1"/>
  <c r="L1157" i="1"/>
  <c r="L1160" i="1"/>
  <c r="L1162" i="1"/>
  <c r="L1165" i="1"/>
  <c r="L1166" i="1"/>
  <c r="L1167" i="1"/>
  <c r="L1173" i="1"/>
  <c r="L1174" i="1"/>
  <c r="L1177" i="1"/>
  <c r="L1180" i="1"/>
  <c r="L1191" i="1"/>
  <c r="L1192" i="1"/>
  <c r="L1204" i="1"/>
  <c r="L1205" i="1"/>
  <c r="L1207" i="1"/>
  <c r="L1213" i="1"/>
  <c r="L1215" i="1"/>
  <c r="L1226" i="1"/>
  <c r="L1231" i="1"/>
  <c r="L1234" i="1"/>
  <c r="L1241" i="1"/>
  <c r="L1270" i="1"/>
  <c r="L1271" i="1"/>
  <c r="L1272" i="1"/>
  <c r="L1279" i="1"/>
  <c r="L1280" i="1"/>
  <c r="L1285" i="1"/>
  <c r="L1287" i="1"/>
  <c r="L1291" i="1"/>
  <c r="L1293" i="1"/>
  <c r="L1310" i="1"/>
  <c r="L1337" i="1"/>
  <c r="L1346" i="1"/>
  <c r="L1360" i="1"/>
  <c r="L1362" i="1"/>
  <c r="L1371" i="1"/>
  <c r="L1376" i="1"/>
  <c r="L1386" i="1"/>
  <c r="L1395" i="1"/>
  <c r="L1404" i="1"/>
  <c r="L1411" i="1"/>
  <c r="L1412" i="1"/>
  <c r="L1415" i="1"/>
  <c r="L1420" i="1"/>
  <c r="L1421" i="1"/>
  <c r="L1423" i="1"/>
  <c r="L1429" i="1"/>
  <c r="L1433" i="1"/>
  <c r="L1435" i="1"/>
  <c r="L1440" i="1"/>
  <c r="L1441" i="1"/>
  <c r="L1442" i="1"/>
  <c r="L1453" i="1"/>
  <c r="L1455" i="1"/>
  <c r="L1457" i="1"/>
  <c r="L1473" i="1"/>
  <c r="L1476" i="1"/>
  <c r="L1490" i="1"/>
  <c r="L1493" i="1"/>
  <c r="L1497" i="1"/>
  <c r="L1501" i="1"/>
  <c r="L1502" i="1"/>
  <c r="L1511" i="1"/>
  <c r="L1512" i="1"/>
  <c r="L1514" i="1"/>
  <c r="L1516" i="1"/>
  <c r="L1521" i="1"/>
  <c r="L1526" i="1"/>
  <c r="L1530" i="1"/>
  <c r="L1533" i="1"/>
  <c r="L1535" i="1"/>
  <c r="L1536" i="1"/>
  <c r="L1538" i="1"/>
  <c r="L1543" i="1"/>
  <c r="L1548" i="1"/>
  <c r="L1550" i="1"/>
  <c r="L1551" i="1"/>
  <c r="L1553" i="1"/>
  <c r="L1556" i="1"/>
  <c r="L1560" i="1"/>
  <c r="E172" i="1"/>
  <c r="M1560" i="1"/>
  <c r="K1560" i="1"/>
  <c r="M1536" i="1"/>
  <c r="K1536" i="1"/>
  <c r="M1521" i="1"/>
  <c r="K1521" i="1"/>
  <c r="M1514" i="1"/>
  <c r="K1514" i="1"/>
  <c r="M1512" i="1"/>
  <c r="K1512" i="1"/>
  <c r="M1429" i="1"/>
  <c r="K1429" i="1"/>
  <c r="M1310" i="1"/>
  <c r="K1310" i="1"/>
  <c r="M1177" i="1"/>
  <c r="K1177" i="1"/>
  <c r="K1160" i="1"/>
  <c r="M1135" i="1"/>
  <c r="K1135" i="1"/>
  <c r="M1007" i="1"/>
  <c r="K1007" i="1"/>
  <c r="M971" i="1"/>
  <c r="K971" i="1"/>
  <c r="K895" i="1"/>
  <c r="M851" i="1"/>
  <c r="K851" i="1"/>
  <c r="M847" i="1"/>
  <c r="K847" i="1"/>
  <c r="M741" i="1"/>
  <c r="K741" i="1"/>
  <c r="M732" i="1"/>
  <c r="K732" i="1"/>
  <c r="M707" i="1"/>
  <c r="K707" i="1"/>
  <c r="M699" i="1"/>
  <c r="K699" i="1"/>
  <c r="M658" i="1"/>
  <c r="K658" i="1"/>
  <c r="M428" i="1"/>
  <c r="K428" i="1"/>
  <c r="M393" i="1"/>
  <c r="K393" i="1"/>
  <c r="M90" i="1"/>
  <c r="K90" i="1"/>
  <c r="M61" i="1"/>
  <c r="K61" i="1"/>
  <c r="H1560" i="1"/>
  <c r="G1560" i="1"/>
  <c r="F1560" i="1"/>
  <c r="H1536" i="1"/>
  <c r="G1536" i="1"/>
  <c r="F1536" i="1"/>
  <c r="H1521" i="1"/>
  <c r="G1521" i="1"/>
  <c r="F1521" i="1"/>
  <c r="H1514" i="1"/>
  <c r="G1514" i="1"/>
  <c r="F1514" i="1"/>
  <c r="H1512" i="1"/>
  <c r="G1512" i="1"/>
  <c r="F1512" i="1"/>
  <c r="H1429" i="1"/>
  <c r="G1429" i="1"/>
  <c r="F1429" i="1"/>
  <c r="H1310" i="1"/>
  <c r="G1310" i="1"/>
  <c r="F1310" i="1"/>
  <c r="H1177" i="1"/>
  <c r="G1177" i="1"/>
  <c r="F1177" i="1"/>
  <c r="H1135" i="1"/>
  <c r="G1135" i="1"/>
  <c r="F1135" i="1"/>
  <c r="H1024" i="1"/>
  <c r="F1024" i="1"/>
  <c r="G1024" i="1"/>
  <c r="H1013" i="1"/>
  <c r="G1013" i="1"/>
  <c r="F1013" i="1"/>
  <c r="H1007" i="1"/>
  <c r="G1007" i="1"/>
  <c r="F1007" i="1"/>
  <c r="H972" i="1"/>
  <c r="G972" i="1"/>
  <c r="F972" i="1"/>
  <c r="H971" i="1"/>
  <c r="G971" i="1"/>
  <c r="F971" i="1"/>
  <c r="H937" i="1"/>
  <c r="G937" i="1"/>
  <c r="F937" i="1"/>
  <c r="H863" i="1"/>
  <c r="G863" i="1"/>
  <c r="F863" i="1"/>
  <c r="H852" i="1"/>
  <c r="G852" i="1"/>
  <c r="F852" i="1"/>
  <c r="H851" i="1"/>
  <c r="G851" i="1"/>
  <c r="F851" i="1"/>
  <c r="H847" i="1"/>
  <c r="G847" i="1"/>
  <c r="F847" i="1"/>
  <c r="H741" i="1"/>
  <c r="G741" i="1"/>
  <c r="F741" i="1"/>
  <c r="H732" i="1"/>
  <c r="G732" i="1"/>
  <c r="F732" i="1"/>
  <c r="H707" i="1"/>
  <c r="G707" i="1"/>
  <c r="F707" i="1"/>
  <c r="H658" i="1"/>
  <c r="G658" i="1"/>
  <c r="F658" i="1"/>
  <c r="H642" i="1"/>
  <c r="G642" i="1"/>
  <c r="F642" i="1"/>
  <c r="H540" i="1"/>
  <c r="H428" i="1"/>
  <c r="G428" i="1"/>
  <c r="F428" i="1"/>
  <c r="H410" i="1"/>
  <c r="G410" i="1"/>
  <c r="F410" i="1"/>
  <c r="J263" i="1"/>
  <c r="H263" i="1"/>
  <c r="G263" i="1"/>
  <c r="F263" i="1"/>
  <c r="H90" i="1"/>
  <c r="G90" i="1"/>
  <c r="F90" i="1"/>
  <c r="J61" i="1"/>
  <c r="H61" i="1"/>
  <c r="G61" i="1"/>
  <c r="F61" i="1"/>
  <c r="J30" i="1"/>
  <c r="E1560" i="1"/>
  <c r="D1560" i="1"/>
  <c r="E1536" i="1"/>
  <c r="D1536" i="1"/>
  <c r="E1521" i="1"/>
  <c r="D1521" i="1"/>
  <c r="E1512" i="1"/>
  <c r="D1512" i="1"/>
  <c r="E1429" i="1"/>
  <c r="D1429" i="1"/>
  <c r="D1310" i="1"/>
  <c r="N1248" i="1"/>
  <c r="D1177" i="1"/>
  <c r="E1135" i="1"/>
  <c r="D1135" i="1"/>
  <c r="E1024" i="1"/>
  <c r="D1024" i="1"/>
  <c r="N1024" i="1"/>
  <c r="E1007" i="1"/>
  <c r="D1007" i="1"/>
  <c r="D972" i="1"/>
  <c r="D971" i="1"/>
  <c r="E937" i="1"/>
  <c r="D937" i="1"/>
  <c r="N937" i="1"/>
  <c r="D863" i="1"/>
  <c r="D852" i="1"/>
  <c r="E851" i="1"/>
  <c r="D851" i="1"/>
  <c r="D847" i="1"/>
  <c r="N772" i="1"/>
  <c r="E741" i="1"/>
  <c r="D741" i="1"/>
  <c r="E732" i="1"/>
  <c r="D732" i="1"/>
  <c r="E707" i="1"/>
  <c r="D707" i="1"/>
  <c r="E699" i="1"/>
  <c r="D658" i="1"/>
  <c r="D642" i="1"/>
  <c r="E428" i="1"/>
  <c r="D428" i="1"/>
  <c r="D410" i="1"/>
  <c r="E61" i="1"/>
  <c r="D90" i="1"/>
  <c r="D61" i="1"/>
  <c r="E30" i="1"/>
  <c r="E31" i="1"/>
  <c r="M1550" i="1"/>
  <c r="K1550" i="1"/>
  <c r="M1455" i="1"/>
  <c r="K1455" i="1"/>
  <c r="M1291" i="1"/>
  <c r="K1291" i="1"/>
  <c r="M1204" i="1"/>
  <c r="K1204" i="1"/>
  <c r="M1166" i="1"/>
  <c r="K1166" i="1"/>
  <c r="M1165" i="1"/>
  <c r="K1165" i="1"/>
  <c r="M1157" i="1"/>
  <c r="K1157" i="1"/>
  <c r="M1127" i="1"/>
  <c r="K1127" i="1"/>
  <c r="M1125" i="1"/>
  <c r="K1125" i="1"/>
  <c r="M1013" i="1"/>
  <c r="K1013" i="1"/>
  <c r="M972" i="1"/>
  <c r="K972" i="1"/>
  <c r="M962" i="1"/>
  <c r="K962" i="1"/>
  <c r="M933" i="1"/>
  <c r="K933" i="1"/>
  <c r="M927" i="1"/>
  <c r="K927" i="1"/>
  <c r="M925" i="1"/>
  <c r="K925" i="1"/>
  <c r="M863" i="1"/>
  <c r="K863" i="1"/>
  <c r="M838" i="1"/>
  <c r="K838" i="1"/>
  <c r="M816" i="1"/>
  <c r="K816" i="1"/>
  <c r="M796" i="1"/>
  <c r="K796" i="1"/>
  <c r="M714" i="1"/>
  <c r="K714" i="1"/>
  <c r="M672" i="1"/>
  <c r="K672" i="1"/>
  <c r="M653" i="1"/>
  <c r="K653" i="1"/>
  <c r="M642" i="1"/>
  <c r="K642" i="1"/>
  <c r="M587" i="1"/>
  <c r="K587" i="1"/>
  <c r="M543" i="1"/>
  <c r="K543" i="1"/>
  <c r="M478" i="1"/>
  <c r="K478" i="1"/>
  <c r="M448" i="1"/>
  <c r="K448" i="1"/>
  <c r="M410" i="1"/>
  <c r="K410" i="1"/>
  <c r="M406" i="1"/>
  <c r="K406" i="1"/>
  <c r="M382" i="1"/>
  <c r="K382" i="1"/>
  <c r="M380" i="1"/>
  <c r="K380" i="1"/>
  <c r="M195" i="1"/>
  <c r="K195" i="1"/>
  <c r="M157" i="1"/>
  <c r="K157" i="1"/>
  <c r="M68" i="1"/>
  <c r="K68" i="1"/>
  <c r="M64" i="1"/>
  <c r="K64" i="1"/>
  <c r="K50" i="1"/>
  <c r="M12" i="1"/>
  <c r="K12" i="1"/>
  <c r="H1550" i="1"/>
  <c r="G1550" i="1"/>
  <c r="F1550" i="1"/>
  <c r="H1455" i="1"/>
  <c r="G1455" i="1"/>
  <c r="F1455" i="1"/>
  <c r="H1318" i="1"/>
  <c r="G1318" i="1"/>
  <c r="F1318" i="1"/>
  <c r="H1291" i="1"/>
  <c r="G1291" i="1"/>
  <c r="F1291" i="1"/>
  <c r="H1232" i="1"/>
  <c r="G1232" i="1"/>
  <c r="F1232" i="1"/>
  <c r="H1204" i="1"/>
  <c r="G1204" i="1"/>
  <c r="F1204" i="1"/>
  <c r="H1166" i="1"/>
  <c r="G1166" i="1"/>
  <c r="F1166" i="1"/>
  <c r="H1165" i="1"/>
  <c r="G1165" i="1"/>
  <c r="F1165" i="1"/>
  <c r="H1157" i="1"/>
  <c r="G1157" i="1"/>
  <c r="F1157" i="1"/>
  <c r="H1127" i="1"/>
  <c r="G1127" i="1"/>
  <c r="F1127" i="1"/>
  <c r="G1125" i="1"/>
  <c r="F1125" i="1"/>
  <c r="F1071" i="1"/>
  <c r="H962" i="1"/>
  <c r="G962" i="1"/>
  <c r="F962" i="1"/>
  <c r="H933" i="1"/>
  <c r="G933" i="1"/>
  <c r="F933" i="1"/>
  <c r="H927" i="1"/>
  <c r="G927" i="1"/>
  <c r="F927" i="1"/>
  <c r="H925" i="1"/>
  <c r="G925" i="1"/>
  <c r="F925" i="1"/>
  <c r="H838" i="1"/>
  <c r="G838" i="1"/>
  <c r="F838" i="1"/>
  <c r="H816" i="1"/>
  <c r="G816" i="1"/>
  <c r="F816" i="1"/>
  <c r="H796" i="1"/>
  <c r="G796" i="1"/>
  <c r="F796" i="1"/>
  <c r="H714" i="1"/>
  <c r="G714" i="1"/>
  <c r="F714" i="1"/>
  <c r="H672" i="1"/>
  <c r="G672" i="1"/>
  <c r="F672" i="1"/>
  <c r="H653" i="1"/>
  <c r="G653" i="1"/>
  <c r="F653" i="1"/>
  <c r="H587" i="1"/>
  <c r="G587" i="1"/>
  <c r="F587" i="1"/>
  <c r="H543" i="1"/>
  <c r="G543" i="1"/>
  <c r="F543" i="1"/>
  <c r="H514" i="1"/>
  <c r="G514" i="1"/>
  <c r="F514" i="1"/>
  <c r="H478" i="1"/>
  <c r="G478" i="1"/>
  <c r="F478" i="1"/>
  <c r="H448" i="1"/>
  <c r="G448" i="1"/>
  <c r="F448" i="1"/>
  <c r="H406" i="1"/>
  <c r="G406" i="1"/>
  <c r="F406" i="1"/>
  <c r="H382" i="1"/>
  <c r="G382" i="1"/>
  <c r="F382" i="1"/>
  <c r="H380" i="1"/>
  <c r="G380" i="1"/>
  <c r="F380" i="1"/>
  <c r="H373" i="1"/>
  <c r="G373" i="1"/>
  <c r="F373" i="1"/>
  <c r="H265" i="1"/>
  <c r="G265" i="1"/>
  <c r="F265" i="1"/>
  <c r="H251" i="1"/>
  <c r="G251" i="1"/>
  <c r="F251" i="1"/>
  <c r="H195" i="1"/>
  <c r="G195" i="1"/>
  <c r="F195" i="1"/>
  <c r="H157" i="1"/>
  <c r="G157" i="1"/>
  <c r="F157" i="1"/>
  <c r="G150" i="1"/>
  <c r="H68" i="1"/>
  <c r="G68" i="1"/>
  <c r="F68" i="1"/>
  <c r="H64" i="1"/>
  <c r="G64" i="1"/>
  <c r="F64" i="1"/>
  <c r="H50" i="1"/>
  <c r="G50" i="1"/>
  <c r="F50" i="1"/>
  <c r="H12" i="1"/>
  <c r="G12" i="1"/>
  <c r="F12" i="1"/>
  <c r="D265" i="1"/>
  <c r="E1550" i="1"/>
  <c r="D1550" i="1"/>
  <c r="E1455" i="1"/>
  <c r="D1455" i="1"/>
  <c r="E1318" i="1"/>
  <c r="D1318" i="1"/>
  <c r="E1310" i="1"/>
  <c r="D1293" i="1"/>
  <c r="E1291" i="1"/>
  <c r="D1291" i="1"/>
  <c r="E1232" i="1"/>
  <c r="D1232" i="1"/>
  <c r="E1204" i="1"/>
  <c r="D1204" i="1"/>
  <c r="E1177" i="1"/>
  <c r="E1166" i="1"/>
  <c r="D1166" i="1"/>
  <c r="E1165" i="1"/>
  <c r="D1165" i="1"/>
  <c r="E1157" i="1"/>
  <c r="D1157" i="1"/>
  <c r="E1127" i="1"/>
  <c r="D1127" i="1"/>
  <c r="E1125" i="1"/>
  <c r="D1125" i="1"/>
  <c r="E972" i="1"/>
  <c r="E971" i="1"/>
  <c r="E962" i="1"/>
  <c r="D962" i="1"/>
  <c r="E933" i="1"/>
  <c r="D933" i="1"/>
  <c r="E927" i="1"/>
  <c r="D927" i="1"/>
  <c r="E925" i="1"/>
  <c r="D925" i="1"/>
  <c r="E863" i="1"/>
  <c r="E847" i="1"/>
  <c r="E838" i="1"/>
  <c r="D838" i="1"/>
  <c r="E816" i="1"/>
  <c r="D816" i="1"/>
  <c r="E796" i="1"/>
  <c r="D796" i="1"/>
  <c r="E714" i="1"/>
  <c r="D714" i="1"/>
  <c r="E672" i="1"/>
  <c r="D672" i="1"/>
  <c r="E658" i="1"/>
  <c r="E653" i="1"/>
  <c r="D653" i="1"/>
  <c r="E642" i="1"/>
  <c r="E626" i="1"/>
  <c r="D626" i="1"/>
  <c r="E587" i="1"/>
  <c r="D587" i="1"/>
  <c r="E543" i="1"/>
  <c r="D543" i="1"/>
  <c r="E514" i="1"/>
  <c r="D514" i="1"/>
  <c r="E497" i="1"/>
  <c r="D497" i="1"/>
  <c r="E478" i="1"/>
  <c r="D478" i="1"/>
  <c r="E448" i="1"/>
  <c r="D448" i="1"/>
  <c r="E410" i="1"/>
  <c r="D407" i="1"/>
  <c r="E406" i="1"/>
  <c r="D406" i="1"/>
  <c r="E382" i="1"/>
  <c r="D382" i="1"/>
  <c r="E380" i="1"/>
  <c r="D380" i="1"/>
  <c r="E373" i="1"/>
  <c r="D373" i="1"/>
  <c r="E266" i="1"/>
  <c r="E265" i="1"/>
  <c r="E251" i="1"/>
  <c r="D251" i="1"/>
  <c r="E195" i="1"/>
  <c r="D195" i="1"/>
  <c r="E157" i="1"/>
  <c r="D157" i="1"/>
  <c r="E90" i="1"/>
  <c r="E88" i="1"/>
  <c r="D88" i="1"/>
  <c r="D89" i="1"/>
  <c r="E68" i="1"/>
  <c r="D68" i="1"/>
  <c r="E64" i="1"/>
  <c r="D64" i="1"/>
  <c r="E50" i="1"/>
  <c r="D50" i="1"/>
  <c r="E18" i="1"/>
  <c r="E12" i="1"/>
  <c r="D12" i="1"/>
  <c r="N251" i="1"/>
  <c r="N373" i="1"/>
  <c r="N744" i="1"/>
  <c r="N1232" i="1"/>
  <c r="J1420" i="1"/>
  <c r="J1201" i="1"/>
  <c r="J1167" i="1"/>
  <c r="J1079" i="1"/>
  <c r="J804" i="1"/>
  <c r="J654" i="1"/>
  <c r="J548" i="1"/>
  <c r="J527" i="1"/>
  <c r="J515" i="1"/>
  <c r="J395" i="1"/>
  <c r="J366" i="1"/>
  <c r="J243" i="1"/>
  <c r="D1556" i="1"/>
  <c r="D1553" i="1"/>
  <c r="D1551" i="1"/>
  <c r="D1548" i="1"/>
  <c r="D1543" i="1"/>
  <c r="D1541" i="1"/>
  <c r="D1538" i="1"/>
  <c r="D1533" i="1"/>
  <c r="D1530" i="1"/>
  <c r="D1526" i="1"/>
  <c r="D1516" i="1"/>
  <c r="D1511" i="1"/>
  <c r="D1502" i="1"/>
  <c r="D1501" i="1"/>
  <c r="D1498" i="1"/>
  <c r="D1497" i="1"/>
  <c r="D1493" i="1"/>
  <c r="D1490" i="1"/>
  <c r="D1473" i="1"/>
  <c r="D1464" i="1"/>
  <c r="D1453" i="1"/>
  <c r="D1441" i="1"/>
  <c r="D1440" i="1"/>
  <c r="D1442" i="1"/>
  <c r="D1433" i="1"/>
  <c r="D1435" i="1"/>
  <c r="D1423" i="1"/>
  <c r="D1421" i="1"/>
  <c r="D1420" i="1"/>
  <c r="D1415" i="1"/>
  <c r="D1412" i="1"/>
  <c r="D1411" i="1"/>
  <c r="D1404" i="1"/>
  <c r="D1395" i="1"/>
  <c r="D1386" i="1"/>
  <c r="D1376" i="1"/>
  <c r="D1371" i="1"/>
  <c r="D1365" i="1"/>
  <c r="D1362" i="1"/>
  <c r="D1360" i="1"/>
  <c r="D1337" i="1"/>
  <c r="D1346" i="1"/>
  <c r="D1285" i="1"/>
  <c r="D1280" i="1"/>
  <c r="D1279" i="1"/>
  <c r="D1272" i="1"/>
  <c r="D1271" i="1"/>
  <c r="D1270" i="1"/>
  <c r="D1241" i="1"/>
  <c r="D1234" i="1"/>
  <c r="D1231" i="1"/>
  <c r="D1215" i="1"/>
  <c r="D1213" i="1"/>
  <c r="D1207" i="1"/>
  <c r="D1205" i="1"/>
  <c r="D1192" i="1"/>
  <c r="D1191" i="1"/>
  <c r="D1180" i="1"/>
  <c r="D1174" i="1"/>
  <c r="D1173" i="1"/>
  <c r="D1167" i="1"/>
  <c r="D1160" i="1"/>
  <c r="D1154" i="1"/>
  <c r="D1151" i="1"/>
  <c r="D1150" i="1"/>
  <c r="D1148" i="1"/>
  <c r="D1143" i="1"/>
  <c r="D1126" i="1"/>
  <c r="D1124" i="1"/>
  <c r="D1122" i="1"/>
  <c r="D1117" i="1"/>
  <c r="D1116" i="1"/>
  <c r="D1112" i="1"/>
  <c r="D1108" i="1"/>
  <c r="D1101" i="1"/>
  <c r="D1096" i="1"/>
  <c r="D1095" i="1"/>
  <c r="D1098" i="1"/>
  <c r="D1097" i="1"/>
  <c r="D1093" i="1"/>
  <c r="D1092" i="1"/>
  <c r="D1091" i="1"/>
  <c r="D1085" i="1"/>
  <c r="D1081" i="1"/>
  <c r="D1076" i="1"/>
  <c r="D1074" i="1"/>
  <c r="D1071" i="1"/>
  <c r="D1067" i="1"/>
  <c r="D1066" i="1"/>
  <c r="D1065" i="1"/>
  <c r="D1062" i="1"/>
  <c r="D1058" i="1"/>
  <c r="D1056" i="1"/>
  <c r="D1055" i="1"/>
  <c r="D1053" i="1"/>
  <c r="D1052" i="1"/>
  <c r="D1047" i="1"/>
  <c r="D1030" i="1"/>
  <c r="D1029" i="1"/>
  <c r="D1025" i="1"/>
  <c r="D1019" i="1"/>
  <c r="D1009" i="1"/>
  <c r="D995" i="1"/>
  <c r="D994" i="1"/>
  <c r="D986" i="1"/>
  <c r="D984" i="1"/>
  <c r="D983" i="1"/>
  <c r="D981" i="1"/>
  <c r="D975" i="1"/>
  <c r="D976" i="1"/>
  <c r="D973" i="1"/>
  <c r="D970" i="1"/>
  <c r="D958" i="1"/>
  <c r="D950" i="1"/>
  <c r="D947" i="1"/>
  <c r="D946" i="1"/>
  <c r="D939" i="1"/>
  <c r="D932" i="1"/>
  <c r="D926" i="1"/>
  <c r="D924" i="1"/>
  <c r="D923" i="1"/>
  <c r="D904" i="1"/>
  <c r="D901" i="1"/>
  <c r="D900" i="1"/>
  <c r="D895" i="1"/>
  <c r="D884" i="1"/>
  <c r="D881" i="1"/>
  <c r="D877" i="1"/>
  <c r="D876" i="1"/>
  <c r="D875" i="1"/>
  <c r="D870" i="1"/>
  <c r="D871" i="1"/>
  <c r="D858" i="1"/>
  <c r="D853" i="1"/>
  <c r="D848" i="1"/>
  <c r="D833" i="1"/>
  <c r="D825" i="1"/>
  <c r="D823" i="1"/>
  <c r="D822" i="1"/>
  <c r="D813" i="1"/>
  <c r="D804" i="1"/>
  <c r="D802" i="1"/>
  <c r="D801" i="1"/>
  <c r="D800" i="1"/>
  <c r="D789" i="1"/>
  <c r="D788" i="1"/>
  <c r="D781" i="1"/>
  <c r="D780" i="1"/>
  <c r="D774" i="1"/>
  <c r="D768" i="1"/>
  <c r="D767" i="1"/>
  <c r="D755" i="1"/>
  <c r="D745" i="1"/>
  <c r="D734" i="1"/>
  <c r="D728" i="1"/>
  <c r="D696" i="1"/>
  <c r="D695" i="1"/>
  <c r="D694" i="1"/>
  <c r="D692" i="1"/>
  <c r="D690" i="1"/>
  <c r="D689" i="1"/>
  <c r="D688" i="1"/>
  <c r="D687" i="1"/>
  <c r="D677" i="1"/>
  <c r="D670" i="1"/>
  <c r="D671" i="1"/>
  <c r="D654" i="1"/>
  <c r="D652" i="1"/>
  <c r="D640" i="1"/>
  <c r="D638" i="1"/>
  <c r="D637" i="1"/>
  <c r="D636" i="1"/>
  <c r="D634" i="1"/>
  <c r="D633" i="1"/>
  <c r="D627" i="1"/>
  <c r="D624" i="1"/>
  <c r="D623" i="1"/>
  <c r="D618" i="1"/>
  <c r="D611" i="1"/>
  <c r="D608" i="1"/>
  <c r="D600" i="1"/>
  <c r="D596" i="1"/>
  <c r="D595" i="1"/>
  <c r="D593" i="1"/>
  <c r="D580" i="1"/>
  <c r="D575" i="1"/>
  <c r="D573" i="1"/>
  <c r="D568" i="1"/>
  <c r="D564" i="1"/>
  <c r="D563" i="1"/>
  <c r="D553" i="1"/>
  <c r="D552" i="1"/>
  <c r="D551" i="1"/>
  <c r="D550" i="1"/>
  <c r="D548" i="1"/>
  <c r="D538" i="1"/>
  <c r="D527" i="1"/>
  <c r="D522" i="1"/>
  <c r="D515" i="1"/>
  <c r="D513" i="1"/>
  <c r="D512" i="1"/>
  <c r="D511" i="1"/>
  <c r="D500" i="1"/>
  <c r="D499" i="1"/>
  <c r="D498" i="1"/>
  <c r="D495" i="1"/>
  <c r="D493" i="1"/>
  <c r="D492" i="1"/>
  <c r="D488" i="1"/>
  <c r="D487" i="1"/>
  <c r="D486" i="1"/>
  <c r="D483" i="1"/>
  <c r="D480" i="1"/>
  <c r="D475" i="1"/>
  <c r="D461" i="1"/>
  <c r="D462" i="1"/>
  <c r="D460" i="1"/>
  <c r="D459" i="1"/>
  <c r="D456" i="1"/>
  <c r="D445" i="1"/>
  <c r="D432" i="1"/>
  <c r="D426" i="1"/>
  <c r="D421" i="1"/>
  <c r="D419" i="1"/>
  <c r="D416" i="1"/>
  <c r="D411" i="1"/>
  <c r="D412" i="1"/>
  <c r="D408" i="1"/>
  <c r="D409" i="1"/>
  <c r="D405" i="1"/>
  <c r="D400" i="1"/>
  <c r="D399" i="1"/>
  <c r="D397" i="1"/>
  <c r="D398" i="1"/>
  <c r="D395" i="1"/>
  <c r="D394" i="1"/>
  <c r="D392" i="1"/>
  <c r="D388" i="1"/>
  <c r="D386" i="1"/>
  <c r="D384" i="1"/>
  <c r="D379" i="1"/>
  <c r="D377" i="1"/>
  <c r="D372" i="1"/>
  <c r="D366" i="1"/>
  <c r="D365" i="1"/>
  <c r="D364" i="1"/>
  <c r="D363" i="1"/>
  <c r="D354" i="1"/>
  <c r="D350" i="1"/>
  <c r="D349" i="1"/>
  <c r="D338" i="1"/>
  <c r="D333" i="1"/>
  <c r="D332" i="1"/>
  <c r="D331" i="1"/>
  <c r="D330" i="1"/>
  <c r="D327" i="1"/>
  <c r="D319" i="1"/>
  <c r="D318" i="1"/>
  <c r="D313" i="1"/>
  <c r="D312" i="1"/>
  <c r="D308" i="1"/>
  <c r="D306" i="1"/>
  <c r="D302" i="1"/>
  <c r="D300" i="1"/>
  <c r="D294" i="1"/>
  <c r="D291" i="1"/>
  <c r="D288" i="1"/>
  <c r="D281" i="1"/>
  <c r="D280" i="1"/>
  <c r="D276" i="1"/>
  <c r="D275" i="1"/>
  <c r="D268" i="1"/>
  <c r="D262" i="1"/>
  <c r="D250" i="1"/>
  <c r="D243" i="1"/>
  <c r="D236" i="1"/>
  <c r="D231" i="1"/>
  <c r="D232" i="1"/>
  <c r="D226" i="1"/>
  <c r="D225" i="1"/>
  <c r="D224" i="1"/>
  <c r="D223" i="1"/>
  <c r="D218" i="1"/>
  <c r="D217" i="1"/>
  <c r="D204" i="1"/>
  <c r="D201" i="1"/>
  <c r="D202" i="1"/>
  <c r="D199" i="1"/>
  <c r="D192" i="1"/>
  <c r="D190" i="1"/>
  <c r="D189" i="1"/>
  <c r="D185" i="1"/>
  <c r="D183" i="1"/>
  <c r="D168" i="1"/>
  <c r="D167" i="1"/>
  <c r="D166" i="1"/>
  <c r="D165" i="1"/>
  <c r="D156" i="1"/>
  <c r="D152" i="1"/>
  <c r="D147" i="1"/>
  <c r="D133" i="1"/>
  <c r="D123" i="1"/>
  <c r="D120" i="1"/>
  <c r="D105" i="1"/>
  <c r="D106" i="1"/>
  <c r="D96" i="1"/>
  <c r="D87" i="1"/>
  <c r="D85" i="1"/>
  <c r="D84" i="1"/>
  <c r="D80" i="1"/>
  <c r="D57" i="1"/>
  <c r="D56" i="1"/>
  <c r="D46" i="1"/>
  <c r="D41" i="1"/>
  <c r="D34" i="1"/>
  <c r="D20" i="1"/>
  <c r="D10" i="1"/>
  <c r="M1442" i="1"/>
  <c r="K1442" i="1"/>
  <c r="M1420" i="1"/>
  <c r="K1420" i="1"/>
  <c r="M1270" i="1"/>
  <c r="K1270" i="1"/>
  <c r="M1151" i="1"/>
  <c r="K1151" i="1"/>
  <c r="M563" i="1"/>
  <c r="M306" i="1"/>
  <c r="K306" i="1"/>
  <c r="H1442" i="1"/>
  <c r="G1442" i="1"/>
  <c r="F1442" i="1"/>
  <c r="H1420" i="1"/>
  <c r="G1420" i="1"/>
  <c r="F1420" i="1"/>
  <c r="H1371" i="1"/>
  <c r="G1371" i="1"/>
  <c r="F1371" i="1"/>
  <c r="H1270" i="1"/>
  <c r="G1270" i="1"/>
  <c r="F1270" i="1"/>
  <c r="H1151" i="1"/>
  <c r="G1151" i="1"/>
  <c r="F1151" i="1"/>
  <c r="H563" i="1"/>
  <c r="F563" i="1"/>
  <c r="G563" i="1"/>
  <c r="H494" i="1"/>
  <c r="G494" i="1"/>
  <c r="F494" i="1"/>
  <c r="H492" i="1"/>
  <c r="G492" i="1"/>
  <c r="F492" i="1"/>
  <c r="H306" i="1"/>
  <c r="G306" i="1"/>
  <c r="F306" i="1"/>
  <c r="H41" i="1"/>
  <c r="G41" i="1"/>
  <c r="F41" i="1"/>
  <c r="M1473" i="1"/>
  <c r="K1473" i="1"/>
  <c r="M1440" i="1"/>
  <c r="K1440" i="1"/>
  <c r="M1082" i="1"/>
  <c r="K1082" i="1"/>
  <c r="M492" i="1"/>
  <c r="K492" i="1"/>
  <c r="M365" i="1"/>
  <c r="K365" i="1"/>
  <c r="M88" i="1"/>
  <c r="K88" i="1"/>
  <c r="H1473" i="1"/>
  <c r="G1473" i="1"/>
  <c r="F1473" i="1"/>
  <c r="H1440" i="1"/>
  <c r="G1440" i="1"/>
  <c r="F1440" i="1"/>
  <c r="H1082" i="1"/>
  <c r="G1082" i="1"/>
  <c r="F1082" i="1"/>
  <c r="H365" i="1"/>
  <c r="G365" i="1"/>
  <c r="F365" i="1"/>
  <c r="H88" i="1"/>
  <c r="G88" i="1"/>
  <c r="F88" i="1"/>
  <c r="M1433" i="1"/>
  <c r="K1433" i="1"/>
  <c r="M1412" i="1"/>
  <c r="K1412" i="1"/>
  <c r="M1371" i="1"/>
  <c r="K1371" i="1"/>
  <c r="M626" i="1"/>
  <c r="K626" i="1"/>
  <c r="M272" i="1"/>
  <c r="K272" i="1"/>
  <c r="M50" i="1"/>
  <c r="M10" i="1"/>
  <c r="K10" i="1"/>
  <c r="H1433" i="1"/>
  <c r="G1433" i="1"/>
  <c r="F1433" i="1"/>
  <c r="H1412" i="1"/>
  <c r="G1412" i="1"/>
  <c r="F1412" i="1"/>
  <c r="H626" i="1"/>
  <c r="G626" i="1"/>
  <c r="F626" i="1"/>
  <c r="H272" i="1"/>
  <c r="G272" i="1"/>
  <c r="F272" i="1"/>
  <c r="H34" i="1"/>
  <c r="G34" i="1"/>
  <c r="F34" i="1"/>
  <c r="H10" i="1"/>
  <c r="G10" i="1"/>
  <c r="F10" i="1"/>
  <c r="M1272" i="1"/>
  <c r="K1272" i="1"/>
  <c r="M273" i="1"/>
  <c r="K273" i="1"/>
  <c r="M168" i="1"/>
  <c r="K168" i="1"/>
  <c r="H1272" i="1"/>
  <c r="G1272" i="1"/>
  <c r="F1272" i="1"/>
  <c r="H497" i="1"/>
  <c r="G497" i="1"/>
  <c r="F497" i="1"/>
  <c r="H273" i="1"/>
  <c r="G273" i="1"/>
  <c r="F273" i="1"/>
  <c r="G268" i="1"/>
  <c r="F268" i="1"/>
  <c r="H168" i="1"/>
  <c r="G168" i="1"/>
  <c r="F168" i="1"/>
  <c r="H123" i="1"/>
  <c r="G123" i="1"/>
  <c r="F123" i="1"/>
  <c r="N268" i="1"/>
  <c r="N1318" i="1"/>
  <c r="M1395" i="1"/>
  <c r="K1395" i="1"/>
  <c r="M275" i="1"/>
  <c r="K275" i="1"/>
  <c r="H1395" i="1"/>
  <c r="G1395" i="1"/>
  <c r="F1395" i="1"/>
  <c r="H1052" i="1"/>
  <c r="G1052" i="1"/>
  <c r="F1052" i="1"/>
  <c r="G1029" i="1"/>
  <c r="F1029" i="1"/>
  <c r="N1029" i="1"/>
  <c r="I1564" i="1"/>
  <c r="H881" i="1"/>
  <c r="G881" i="1"/>
  <c r="F881" i="1"/>
  <c r="M494" i="1"/>
  <c r="K494" i="1"/>
  <c r="H408" i="1"/>
  <c r="G408" i="1"/>
  <c r="F408" i="1"/>
  <c r="M41" i="1"/>
  <c r="K41" i="1"/>
  <c r="H823" i="1"/>
  <c r="G823" i="1"/>
  <c r="F823" i="1"/>
  <c r="M822" i="1"/>
  <c r="K822" i="1"/>
  <c r="H822" i="1"/>
  <c r="G822" i="1"/>
  <c r="F822" i="1"/>
  <c r="M513" i="1"/>
  <c r="K513" i="1"/>
  <c r="H513" i="1"/>
  <c r="G513" i="1"/>
  <c r="F513" i="1"/>
  <c r="M475" i="1"/>
  <c r="K475" i="1"/>
  <c r="M1538" i="1"/>
  <c r="K1538" i="1"/>
  <c r="H1538" i="1"/>
  <c r="G1538" i="1"/>
  <c r="F1538" i="1"/>
  <c r="M1497" i="1"/>
  <c r="K1497" i="1"/>
  <c r="H1497" i="1"/>
  <c r="G1497" i="1"/>
  <c r="F1497" i="1"/>
  <c r="H979" i="1"/>
  <c r="G979" i="1"/>
  <c r="F979" i="1"/>
  <c r="M924" i="1"/>
  <c r="K924" i="1"/>
  <c r="H924" i="1"/>
  <c r="G924" i="1"/>
  <c r="F924" i="1"/>
  <c r="M483" i="1"/>
  <c r="K483" i="1"/>
  <c r="H483" i="1"/>
  <c r="F483" i="1"/>
  <c r="G483" i="1"/>
  <c r="M461" i="1"/>
  <c r="K461" i="1"/>
  <c r="H461" i="1"/>
  <c r="G461" i="1"/>
  <c r="F461" i="1"/>
  <c r="M397" i="1"/>
  <c r="K397" i="1"/>
  <c r="H397" i="1"/>
  <c r="G397" i="1"/>
  <c r="F397" i="1"/>
  <c r="M190" i="1"/>
  <c r="K190" i="1"/>
  <c r="H190" i="1"/>
  <c r="G190" i="1"/>
  <c r="F190" i="1"/>
  <c r="N16" i="1"/>
  <c r="M20" i="1"/>
  <c r="M27" i="1"/>
  <c r="N28" i="1"/>
  <c r="N29" i="1"/>
  <c r="N36" i="1"/>
  <c r="N40" i="1"/>
  <c r="N43" i="1"/>
  <c r="M46" i="1"/>
  <c r="N48" i="1"/>
  <c r="N55" i="1"/>
  <c r="N56" i="1"/>
  <c r="M57" i="1"/>
  <c r="N58" i="1"/>
  <c r="N60" i="1"/>
  <c r="N65" i="1"/>
  <c r="N66" i="1"/>
  <c r="N67" i="1"/>
  <c r="N74" i="1"/>
  <c r="N77" i="1"/>
  <c r="M80" i="1"/>
  <c r="N82" i="1"/>
  <c r="N83" i="1"/>
  <c r="M84" i="1"/>
  <c r="M85" i="1"/>
  <c r="N86" i="1"/>
  <c r="M87" i="1"/>
  <c r="M89" i="1"/>
  <c r="N91" i="1"/>
  <c r="N92" i="1"/>
  <c r="N93" i="1"/>
  <c r="M96" i="1"/>
  <c r="N100" i="1"/>
  <c r="N101" i="1"/>
  <c r="N102" i="1"/>
  <c r="N103" i="1"/>
  <c r="M106" i="1"/>
  <c r="N107" i="1"/>
  <c r="M111" i="1"/>
  <c r="N112" i="1"/>
  <c r="N114" i="1"/>
  <c r="M120" i="1"/>
  <c r="M123" i="1"/>
  <c r="N124" i="1"/>
  <c r="N132" i="1"/>
  <c r="M133" i="1"/>
  <c r="N134" i="1"/>
  <c r="N143" i="1"/>
  <c r="M147" i="1"/>
  <c r="N148" i="1"/>
  <c r="N151" i="1"/>
  <c r="M152" i="1"/>
  <c r="N153" i="1"/>
  <c r="N154" i="1"/>
  <c r="N155" i="1"/>
  <c r="M156" i="1"/>
  <c r="M162" i="1"/>
  <c r="M165" i="1"/>
  <c r="M166" i="1"/>
  <c r="M167" i="1"/>
  <c r="N169" i="1"/>
  <c r="N170" i="1"/>
  <c r="N171" i="1"/>
  <c r="M172" i="1"/>
  <c r="N173" i="1"/>
  <c r="N174" i="1"/>
  <c r="N176" i="1"/>
  <c r="N177" i="1"/>
  <c r="N179" i="1"/>
  <c r="N181" i="1"/>
  <c r="N182" i="1"/>
  <c r="M183" i="1"/>
  <c r="M184" i="1"/>
  <c r="M185" i="1"/>
  <c r="N186" i="1"/>
  <c r="N187" i="1"/>
  <c r="N188" i="1"/>
  <c r="M189" i="1"/>
  <c r="N191" i="1"/>
  <c r="M192" i="1"/>
  <c r="N196" i="1"/>
  <c r="N197" i="1"/>
  <c r="N198" i="1"/>
  <c r="N200" i="1"/>
  <c r="M202" i="1"/>
  <c r="N203" i="1"/>
  <c r="N201" i="1"/>
  <c r="M204" i="1"/>
  <c r="N205" i="1"/>
  <c r="N206" i="1"/>
  <c r="N209" i="1"/>
  <c r="N210" i="1"/>
  <c r="N211" i="1"/>
  <c r="N212" i="1"/>
  <c r="M214" i="1"/>
  <c r="N215" i="1"/>
  <c r="M217" i="1"/>
  <c r="M218" i="1"/>
  <c r="N219" i="1"/>
  <c r="N220" i="1"/>
  <c r="N221" i="1"/>
  <c r="N223" i="1"/>
  <c r="M224" i="1"/>
  <c r="M225" i="1"/>
  <c r="M226" i="1"/>
  <c r="M228" i="1"/>
  <c r="N229" i="1"/>
  <c r="M232" i="1"/>
  <c r="M231" i="1"/>
  <c r="N237" i="1"/>
  <c r="M236" i="1"/>
  <c r="N238" i="1"/>
  <c r="M243" i="1"/>
  <c r="N245" i="1"/>
  <c r="N246" i="1"/>
  <c r="N247" i="1"/>
  <c r="N248" i="1"/>
  <c r="M249" i="1"/>
  <c r="N249" i="1" s="1"/>
  <c r="N250" i="1"/>
  <c r="N259" i="1"/>
  <c r="N261" i="1"/>
  <c r="N262" i="1"/>
  <c r="N264" i="1"/>
  <c r="M265" i="1"/>
  <c r="N269" i="1"/>
  <c r="N271" i="1"/>
  <c r="N270" i="1"/>
  <c r="N274" i="1"/>
  <c r="M276" i="1"/>
  <c r="N278" i="1"/>
  <c r="N279" i="1"/>
  <c r="N280" i="1"/>
  <c r="M281" i="1"/>
  <c r="M282" i="1"/>
  <c r="N282" i="1" s="1"/>
  <c r="N283" i="1"/>
  <c r="N284" i="1"/>
  <c r="N285" i="1"/>
  <c r="N286" i="1"/>
  <c r="N287" i="1"/>
  <c r="M288" i="1"/>
  <c r="N289" i="1"/>
  <c r="N290" i="1"/>
  <c r="M291" i="1"/>
  <c r="N292" i="1"/>
  <c r="N293" i="1"/>
  <c r="M294" i="1"/>
  <c r="N297" i="1"/>
  <c r="N298" i="1"/>
  <c r="N299" i="1"/>
  <c r="M300" i="1"/>
  <c r="M302" i="1"/>
  <c r="N305" i="1"/>
  <c r="N307" i="1"/>
  <c r="M308" i="1"/>
  <c r="M312" i="1"/>
  <c r="M313" i="1"/>
  <c r="N313" i="1" s="1"/>
  <c r="N314" i="1"/>
  <c r="M318" i="1"/>
  <c r="N318" i="1" s="1"/>
  <c r="M319" i="1"/>
  <c r="N320" i="1"/>
  <c r="M327" i="1"/>
  <c r="N328" i="1"/>
  <c r="N329" i="1"/>
  <c r="N330" i="1"/>
  <c r="M331" i="1"/>
  <c r="M332" i="1"/>
  <c r="M333" i="1"/>
  <c r="N337" i="1"/>
  <c r="N338" i="1"/>
  <c r="N341" i="1"/>
  <c r="N342" i="1"/>
  <c r="N344" i="1"/>
  <c r="N345" i="1"/>
  <c r="N346" i="1"/>
  <c r="N348" i="1"/>
  <c r="M349" i="1"/>
  <c r="M350" i="1"/>
  <c r="M354" i="1"/>
  <c r="N359" i="1"/>
  <c r="N361" i="1"/>
  <c r="M363" i="1"/>
  <c r="M364" i="1"/>
  <c r="N366" i="1"/>
  <c r="N369" i="1"/>
  <c r="N370" i="1"/>
  <c r="N371" i="1"/>
  <c r="M372" i="1"/>
  <c r="N374" i="1"/>
  <c r="N376" i="1"/>
  <c r="M377" i="1"/>
  <c r="M379" i="1"/>
  <c r="N381" i="1"/>
  <c r="M378" i="1"/>
  <c r="N383" i="1"/>
  <c r="M384" i="1"/>
  <c r="N385" i="1"/>
  <c r="M386" i="1"/>
  <c r="N387" i="1"/>
  <c r="M388" i="1"/>
  <c r="M391" i="1"/>
  <c r="M392" i="1"/>
  <c r="M394" i="1"/>
  <c r="M395" i="1"/>
  <c r="N396" i="1"/>
  <c r="M398" i="1"/>
  <c r="M399" i="1"/>
  <c r="M400" i="1"/>
  <c r="N402" i="1"/>
  <c r="N403" i="1"/>
  <c r="N404" i="1"/>
  <c r="M405" i="1"/>
  <c r="M409" i="1"/>
  <c r="M408" i="1"/>
  <c r="M412" i="1"/>
  <c r="M411" i="1"/>
  <c r="M407" i="1"/>
  <c r="M416" i="1"/>
  <c r="N417" i="1"/>
  <c r="N418" i="1"/>
  <c r="M419" i="1"/>
  <c r="M420" i="1"/>
  <c r="M421" i="1"/>
  <c r="N422" i="1"/>
  <c r="N424" i="1"/>
  <c r="N425" i="1"/>
  <c r="M426" i="1"/>
  <c r="N423" i="1"/>
  <c r="N430" i="1"/>
  <c r="N431" i="1"/>
  <c r="M432" i="1"/>
  <c r="N433" i="1"/>
  <c r="N434" i="1"/>
  <c r="N435" i="1"/>
  <c r="N436" i="1"/>
  <c r="N440" i="1"/>
  <c r="N441" i="1"/>
  <c r="N442" i="1"/>
  <c r="N444" i="1"/>
  <c r="M445" i="1"/>
  <c r="N446" i="1"/>
  <c r="N451" i="1"/>
  <c r="M455" i="1"/>
  <c r="M456" i="1"/>
  <c r="N457" i="1"/>
  <c r="M458" i="1"/>
  <c r="M459" i="1"/>
  <c r="N459" i="1" s="1"/>
  <c r="M460" i="1"/>
  <c r="M462" i="1"/>
  <c r="N464" i="1"/>
  <c r="N465" i="1"/>
  <c r="N466" i="1"/>
  <c r="M467" i="1"/>
  <c r="N469" i="1"/>
  <c r="N477" i="1"/>
  <c r="N479" i="1"/>
  <c r="M480" i="1"/>
  <c r="N481" i="1"/>
  <c r="N482" i="1"/>
  <c r="N485" i="1"/>
  <c r="M486" i="1"/>
  <c r="M487" i="1"/>
  <c r="M488" i="1"/>
  <c r="N489" i="1"/>
  <c r="N490" i="1"/>
  <c r="M493" i="1"/>
  <c r="M495" i="1"/>
  <c r="M497" i="1"/>
  <c r="M498" i="1"/>
  <c r="M499" i="1"/>
  <c r="M500" i="1"/>
  <c r="N501" i="1"/>
  <c r="N502" i="1"/>
  <c r="N503" i="1"/>
  <c r="N504" i="1"/>
  <c r="M508" i="1"/>
  <c r="N510" i="1"/>
  <c r="M511" i="1"/>
  <c r="M512" i="1"/>
  <c r="M514" i="1"/>
  <c r="M515" i="1"/>
  <c r="N516" i="1"/>
  <c r="M519" i="1"/>
  <c r="N520" i="1"/>
  <c r="M521" i="1"/>
  <c r="M522" i="1"/>
  <c r="N522" i="1" s="1"/>
  <c r="N526" i="1"/>
  <c r="M527" i="1"/>
  <c r="N528" i="1"/>
  <c r="N529" i="1"/>
  <c r="M530" i="1"/>
  <c r="N530" i="1" s="1"/>
  <c r="N531" i="1"/>
  <c r="M538" i="1"/>
  <c r="N539" i="1"/>
  <c r="N540" i="1"/>
  <c r="N544" i="1"/>
  <c r="N545" i="1"/>
  <c r="N546" i="1"/>
  <c r="M548" i="1"/>
  <c r="N549" i="1"/>
  <c r="N550" i="1"/>
  <c r="M551" i="1"/>
  <c r="N551" i="1" s="1"/>
  <c r="M552" i="1"/>
  <c r="M553" i="1"/>
  <c r="N553" i="1" s="1"/>
  <c r="N554" i="1"/>
  <c r="N555" i="1"/>
  <c r="N556" i="1"/>
  <c r="M557" i="1"/>
  <c r="N557" i="1" s="1"/>
  <c r="N558" i="1"/>
  <c r="N560" i="1"/>
  <c r="N561" i="1"/>
  <c r="M564" i="1"/>
  <c r="N565" i="1"/>
  <c r="N566" i="1"/>
  <c r="N567" i="1"/>
  <c r="M568" i="1"/>
  <c r="N569" i="1"/>
  <c r="N571" i="1"/>
  <c r="N572" i="1"/>
  <c r="M573" i="1"/>
  <c r="M575" i="1"/>
  <c r="N574" i="1"/>
  <c r="N576" i="1"/>
  <c r="N577" i="1"/>
  <c r="N578" i="1"/>
  <c r="N579" i="1"/>
  <c r="N581" i="1"/>
  <c r="M580" i="1"/>
  <c r="N582" i="1"/>
  <c r="N583" i="1"/>
  <c r="M586" i="1"/>
  <c r="N590" i="1"/>
  <c r="N594" i="1"/>
  <c r="M595" i="1"/>
  <c r="M596" i="1"/>
  <c r="N601" i="1"/>
  <c r="M600" i="1"/>
  <c r="N605" i="1"/>
  <c r="N606" i="1"/>
  <c r="N607" i="1"/>
  <c r="M608" i="1"/>
  <c r="N609" i="1"/>
  <c r="N610" i="1"/>
  <c r="M611" i="1"/>
  <c r="N612" i="1"/>
  <c r="N614" i="1"/>
  <c r="M618" i="1"/>
  <c r="N622" i="1"/>
  <c r="M623" i="1"/>
  <c r="M624" i="1"/>
  <c r="N625" i="1"/>
  <c r="M627" i="1"/>
  <c r="N630" i="1"/>
  <c r="N629" i="1"/>
  <c r="N631" i="1"/>
  <c r="N632" i="1"/>
  <c r="M633" i="1"/>
  <c r="M634" i="1"/>
  <c r="M636" i="1"/>
  <c r="M637" i="1"/>
  <c r="M638" i="1"/>
  <c r="N639" i="1"/>
  <c r="M640" i="1"/>
  <c r="N645" i="1"/>
  <c r="N646" i="1"/>
  <c r="N652" i="1"/>
  <c r="M654" i="1"/>
  <c r="M671" i="1"/>
  <c r="M670" i="1"/>
  <c r="M677" i="1"/>
  <c r="N686" i="1"/>
  <c r="M687" i="1"/>
  <c r="M688" i="1"/>
  <c r="N689" i="1"/>
  <c r="M690" i="1"/>
  <c r="N691" i="1"/>
  <c r="M692" i="1"/>
  <c r="M694" i="1"/>
  <c r="M695" i="1"/>
  <c r="M696" i="1"/>
  <c r="N696" i="1" s="1"/>
  <c r="N697" i="1"/>
  <c r="N700" i="1"/>
  <c r="N701" i="1"/>
  <c r="N704" i="1"/>
  <c r="M706" i="1"/>
  <c r="M728" i="1"/>
  <c r="N731" i="1"/>
  <c r="N733" i="1"/>
  <c r="M734" i="1"/>
  <c r="N738" i="1"/>
  <c r="N739" i="1"/>
  <c r="N740" i="1"/>
  <c r="N743" i="1"/>
  <c r="M745" i="1"/>
  <c r="M755" i="1"/>
  <c r="N766" i="1"/>
  <c r="M767" i="1"/>
  <c r="M768" i="1"/>
  <c r="N769" i="1"/>
  <c r="N770" i="1"/>
  <c r="M774" i="1"/>
  <c r="N775" i="1"/>
  <c r="N776" i="1"/>
  <c r="N777" i="1"/>
  <c r="N778" i="1"/>
  <c r="N779" i="1"/>
  <c r="N780" i="1"/>
  <c r="M781" i="1"/>
  <c r="N782" i="1"/>
  <c r="N784" i="1"/>
  <c r="N786" i="1"/>
  <c r="N787" i="1"/>
  <c r="M788" i="1"/>
  <c r="M789" i="1"/>
  <c r="N791" i="1"/>
  <c r="M792" i="1"/>
  <c r="N793" i="1"/>
  <c r="N794" i="1"/>
  <c r="N795" i="1"/>
  <c r="N797" i="1"/>
  <c r="N800" i="1"/>
  <c r="M801" i="1"/>
  <c r="M802" i="1"/>
  <c r="M804" i="1"/>
  <c r="N805" i="1"/>
  <c r="M813" i="1"/>
  <c r="N814" i="1"/>
  <c r="M823" i="1"/>
  <c r="M825" i="1"/>
  <c r="N826" i="1"/>
  <c r="N827" i="1"/>
  <c r="N832" i="1"/>
  <c r="M833" i="1"/>
  <c r="N834" i="1"/>
  <c r="N839" i="1"/>
  <c r="N846" i="1"/>
  <c r="M848" i="1"/>
  <c r="N850" i="1"/>
  <c r="M853" i="1"/>
  <c r="M852" i="1"/>
  <c r="N854" i="1"/>
  <c r="N855" i="1"/>
  <c r="N856" i="1"/>
  <c r="M858" i="1"/>
  <c r="N862" i="1"/>
  <c r="M864" i="1"/>
  <c r="N866" i="1"/>
  <c r="N867" i="1"/>
  <c r="N868" i="1"/>
  <c r="M871" i="1"/>
  <c r="N870" i="1"/>
  <c r="N872" i="1"/>
  <c r="N873" i="1"/>
  <c r="N874" i="1"/>
  <c r="M875" i="1"/>
  <c r="M876" i="1"/>
  <c r="M877" i="1"/>
  <c r="N878" i="1"/>
  <c r="M879" i="1"/>
  <c r="N880" i="1"/>
  <c r="N881" i="1"/>
  <c r="M884" i="1"/>
  <c r="N889" i="1"/>
  <c r="M893" i="1"/>
  <c r="M896" i="1"/>
  <c r="N896" i="1" s="1"/>
  <c r="M895" i="1"/>
  <c r="N897" i="1"/>
  <c r="N898" i="1"/>
  <c r="M899" i="1"/>
  <c r="M900" i="1"/>
  <c r="M901" i="1"/>
  <c r="N902" i="1"/>
  <c r="N903" i="1"/>
  <c r="M904" i="1"/>
  <c r="M906" i="1"/>
  <c r="N911" i="1"/>
  <c r="N914" i="1"/>
  <c r="N920" i="1"/>
  <c r="M923" i="1"/>
  <c r="M926" i="1"/>
  <c r="N929" i="1"/>
  <c r="N930" i="1"/>
  <c r="M932" i="1"/>
  <c r="N934" i="1"/>
  <c r="N936" i="1"/>
  <c r="N938" i="1"/>
  <c r="M939" i="1"/>
  <c r="M946" i="1"/>
  <c r="M947" i="1"/>
  <c r="N948" i="1"/>
  <c r="N949" i="1"/>
  <c r="M950" i="1"/>
  <c r="N951" i="1"/>
  <c r="N952" i="1"/>
  <c r="N953" i="1"/>
  <c r="N954" i="1"/>
  <c r="N955" i="1"/>
  <c r="N957" i="1"/>
  <c r="N961" i="1"/>
  <c r="M970" i="1"/>
  <c r="M973" i="1"/>
  <c r="M976" i="1"/>
  <c r="M975" i="1"/>
  <c r="N978" i="1"/>
  <c r="M979" i="1"/>
  <c r="M981" i="1"/>
  <c r="N982" i="1"/>
  <c r="M983" i="1"/>
  <c r="N985" i="1"/>
  <c r="M984" i="1"/>
  <c r="M986" i="1"/>
  <c r="N987" i="1"/>
  <c r="N988" i="1"/>
  <c r="N990" i="1"/>
  <c r="N991" i="1"/>
  <c r="M992" i="1"/>
  <c r="N994" i="1"/>
  <c r="M995" i="1"/>
  <c r="N995" i="1" s="1"/>
  <c r="N996" i="1"/>
  <c r="N997" i="1"/>
  <c r="N998" i="1"/>
  <c r="N1012" i="1"/>
  <c r="N999" i="1"/>
  <c r="N1000" i="1"/>
  <c r="N1001" i="1"/>
  <c r="N1002" i="1"/>
  <c r="N1004" i="1"/>
  <c r="N1006" i="1"/>
  <c r="N1008" i="1"/>
  <c r="M1009" i="1"/>
  <c r="N1014" i="1"/>
  <c r="N1018" i="1"/>
  <c r="N1020" i="1"/>
  <c r="N1021" i="1"/>
  <c r="N1019" i="1"/>
  <c r="M1025" i="1"/>
  <c r="M1030" i="1"/>
  <c r="N1033" i="1"/>
  <c r="N1034" i="1"/>
  <c r="M1052" i="1"/>
  <c r="M1053" i="1"/>
  <c r="M1055" i="1"/>
  <c r="M1056" i="1"/>
  <c r="N1058" i="1"/>
  <c r="N1059" i="1"/>
  <c r="N1060" i="1"/>
  <c r="M1062" i="1"/>
  <c r="N1063" i="1"/>
  <c r="N1064" i="1"/>
  <c r="N1065" i="1"/>
  <c r="M1066" i="1"/>
  <c r="N1067" i="1"/>
  <c r="N1068" i="1"/>
  <c r="M1071" i="1"/>
  <c r="N1072" i="1"/>
  <c r="N1075" i="1"/>
  <c r="M1076" i="1"/>
  <c r="N1077" i="1"/>
  <c r="M1079" i="1"/>
  <c r="M1081" i="1"/>
  <c r="N1084" i="1"/>
  <c r="M1085" i="1"/>
  <c r="N1087" i="1"/>
  <c r="N1088" i="1"/>
  <c r="N1089" i="1"/>
  <c r="N1090" i="1"/>
  <c r="M1091" i="1"/>
  <c r="M1092" i="1"/>
  <c r="M1093" i="1"/>
  <c r="M1097" i="1"/>
  <c r="M1098" i="1"/>
  <c r="M1095" i="1"/>
  <c r="M1096" i="1"/>
  <c r="N1102" i="1"/>
  <c r="N1103" i="1"/>
  <c r="N1105" i="1"/>
  <c r="N1107" i="1"/>
  <c r="M1108" i="1"/>
  <c r="N1111" i="1"/>
  <c r="M1112" i="1"/>
  <c r="N1112" i="1" s="1"/>
  <c r="N1113" i="1"/>
  <c r="M1116" i="1"/>
  <c r="M1117" i="1"/>
  <c r="M1122" i="1"/>
  <c r="M1124" i="1"/>
  <c r="M1126" i="1"/>
  <c r="M1128" i="1"/>
  <c r="N1129" i="1"/>
  <c r="N1132" i="1"/>
  <c r="M1143" i="1"/>
  <c r="N1144" i="1"/>
  <c r="M1148" i="1"/>
  <c r="N1149" i="1"/>
  <c r="M1150" i="1"/>
  <c r="N1152" i="1"/>
  <c r="N1153" i="1"/>
  <c r="M1154" i="1"/>
  <c r="M1155" i="1"/>
  <c r="N1155" i="1" s="1"/>
  <c r="M1160" i="1"/>
  <c r="N1161" i="1"/>
  <c r="M1162" i="1"/>
  <c r="N1163" i="1"/>
  <c r="N1164" i="1"/>
  <c r="M1167" i="1"/>
  <c r="N1171" i="1"/>
  <c r="N1172" i="1"/>
  <c r="M1173" i="1"/>
  <c r="M1174" i="1"/>
  <c r="N1175" i="1"/>
  <c r="N1176" i="1"/>
  <c r="N1178" i="1"/>
  <c r="M1180" i="1"/>
  <c r="N1181" i="1"/>
  <c r="N1182" i="1"/>
  <c r="N1183" i="1"/>
  <c r="N1184" i="1"/>
  <c r="M1191" i="1"/>
  <c r="M1192" i="1"/>
  <c r="N1200" i="1"/>
  <c r="N1201" i="1"/>
  <c r="M1205" i="1"/>
  <c r="M1213" i="1"/>
  <c r="M1215" i="1"/>
  <c r="M1226" i="1"/>
  <c r="N1227" i="1"/>
  <c r="N1229" i="1"/>
  <c r="N1228" i="1"/>
  <c r="N1230" i="1"/>
  <c r="M1231" i="1"/>
  <c r="N1233" i="1"/>
  <c r="M1234" i="1"/>
  <c r="N1235" i="1"/>
  <c r="N1240" i="1"/>
  <c r="N1242" i="1"/>
  <c r="N1254" i="1"/>
  <c r="M1271" i="1"/>
  <c r="N1275" i="1"/>
  <c r="M1279" i="1"/>
  <c r="M1280" i="1"/>
  <c r="M1285" i="1"/>
  <c r="M1287" i="1"/>
  <c r="N1288" i="1"/>
  <c r="N1312" i="1"/>
  <c r="N1328" i="1"/>
  <c r="M1346" i="1"/>
  <c r="M1293" i="1"/>
  <c r="N1315" i="1"/>
  <c r="M1337" i="1"/>
  <c r="N1353" i="1"/>
  <c r="M1354" i="1"/>
  <c r="N1354" i="1" s="1"/>
  <c r="M1358" i="1"/>
  <c r="N1358" i="1" s="1"/>
  <c r="M1360" i="1"/>
  <c r="N1361" i="1"/>
  <c r="M1362" i="1"/>
  <c r="N1363" i="1"/>
  <c r="N1364" i="1"/>
  <c r="N1365" i="1"/>
  <c r="N1366" i="1"/>
  <c r="N1367" i="1"/>
  <c r="N1368" i="1"/>
  <c r="N1369" i="1"/>
  <c r="N1370" i="1"/>
  <c r="N1372" i="1"/>
  <c r="M1376" i="1"/>
  <c r="N1381" i="1"/>
  <c r="N1385" i="1"/>
  <c r="N1387" i="1"/>
  <c r="M1386" i="1"/>
  <c r="N1388" i="1"/>
  <c r="N1389" i="1"/>
  <c r="N1390" i="1"/>
  <c r="N1391" i="1"/>
  <c r="N1393" i="1"/>
  <c r="N1400" i="1"/>
  <c r="M1404" i="1"/>
  <c r="M1411" i="1"/>
  <c r="M1415" i="1"/>
  <c r="N1416" i="1"/>
  <c r="N1418" i="1"/>
  <c r="N1419" i="1"/>
  <c r="M1423" i="1"/>
  <c r="N1431" i="1"/>
  <c r="N1434" i="1"/>
  <c r="M1435" i="1"/>
  <c r="N1436" i="1"/>
  <c r="N1438" i="1"/>
  <c r="N1445" i="1"/>
  <c r="N1446" i="1"/>
  <c r="N1452" i="1"/>
  <c r="M1453" i="1"/>
  <c r="N1456" i="1"/>
  <c r="M1457" i="1"/>
  <c r="N1458" i="1"/>
  <c r="N1459" i="1"/>
  <c r="N1460" i="1"/>
  <c r="N1471" i="1"/>
  <c r="N1472" i="1"/>
  <c r="N1474" i="1"/>
  <c r="N1475" i="1"/>
  <c r="M1476" i="1"/>
  <c r="N1480" i="1"/>
  <c r="N1481" i="1"/>
  <c r="N1482" i="1"/>
  <c r="N1488" i="1"/>
  <c r="M1490" i="1"/>
  <c r="M1493" i="1"/>
  <c r="M1498" i="1"/>
  <c r="N1498" i="1" s="1"/>
  <c r="N1500" i="1"/>
  <c r="M1501" i="1"/>
  <c r="M1502" i="1"/>
  <c r="N1503" i="1"/>
  <c r="N1506" i="1"/>
  <c r="N1508" i="1"/>
  <c r="M1511" i="1"/>
  <c r="N1513" i="1"/>
  <c r="N1515" i="1"/>
  <c r="M1516" i="1"/>
  <c r="N1517" i="1"/>
  <c r="N1518" i="1"/>
  <c r="N1519" i="1"/>
  <c r="N1520" i="1"/>
  <c r="N1523" i="1"/>
  <c r="N1525" i="1"/>
  <c r="M1526" i="1"/>
  <c r="N1527" i="1"/>
  <c r="N1528" i="1"/>
  <c r="N1529" i="1"/>
  <c r="M1530" i="1"/>
  <c r="N1531" i="1"/>
  <c r="N1532" i="1"/>
  <c r="M1533" i="1"/>
  <c r="M1535" i="1"/>
  <c r="N1537" i="1"/>
  <c r="N1540" i="1"/>
  <c r="M1541" i="1"/>
  <c r="N1541" i="1" s="1"/>
  <c r="N1542" i="1"/>
  <c r="M1543" i="1"/>
  <c r="N1544" i="1"/>
  <c r="N1545" i="1"/>
  <c r="N1546" i="1"/>
  <c r="N1547" i="1"/>
  <c r="M1548" i="1"/>
  <c r="N1549" i="1"/>
  <c r="M1551" i="1"/>
  <c r="M1553" i="1"/>
  <c r="N1554" i="1"/>
  <c r="M1555" i="1"/>
  <c r="N1555" i="1" s="1"/>
  <c r="M1556" i="1"/>
  <c r="N1557" i="1"/>
  <c r="M1421" i="1"/>
  <c r="M1047" i="1"/>
  <c r="M1241" i="1"/>
  <c r="N105" i="1"/>
  <c r="N593" i="1"/>
  <c r="M958" i="1"/>
  <c r="M1207" i="1"/>
  <c r="M1441" i="1"/>
  <c r="N1464" i="1"/>
  <c r="I16" i="1"/>
  <c r="H20" i="1"/>
  <c r="F20" i="1"/>
  <c r="G20" i="1"/>
  <c r="H27" i="1"/>
  <c r="F27" i="1"/>
  <c r="G27" i="1"/>
  <c r="I28" i="1"/>
  <c r="I29" i="1"/>
  <c r="I36" i="1"/>
  <c r="I40" i="1"/>
  <c r="I43" i="1"/>
  <c r="H46" i="1"/>
  <c r="F46" i="1"/>
  <c r="G46" i="1"/>
  <c r="I48" i="1"/>
  <c r="I55" i="1"/>
  <c r="H56" i="1"/>
  <c r="F56" i="1"/>
  <c r="H57" i="1"/>
  <c r="F57" i="1"/>
  <c r="I58" i="1"/>
  <c r="I60" i="1"/>
  <c r="I65" i="1"/>
  <c r="I66" i="1"/>
  <c r="I67" i="1"/>
  <c r="I74" i="1"/>
  <c r="I77" i="1"/>
  <c r="H80" i="1"/>
  <c r="F80" i="1"/>
  <c r="G80" i="1"/>
  <c r="I82" i="1"/>
  <c r="I83" i="1"/>
  <c r="H84" i="1"/>
  <c r="F84" i="1"/>
  <c r="G84" i="1"/>
  <c r="H85" i="1"/>
  <c r="F85" i="1"/>
  <c r="I86" i="1"/>
  <c r="H87" i="1"/>
  <c r="F87" i="1"/>
  <c r="G87" i="1"/>
  <c r="H89" i="1"/>
  <c r="F89" i="1"/>
  <c r="G89" i="1"/>
  <c r="I91" i="1"/>
  <c r="I92" i="1"/>
  <c r="I93" i="1"/>
  <c r="H96" i="1"/>
  <c r="F96" i="1"/>
  <c r="G96" i="1"/>
  <c r="I100" i="1"/>
  <c r="I101" i="1"/>
  <c r="I102" i="1"/>
  <c r="I103" i="1"/>
  <c r="H106" i="1"/>
  <c r="F106" i="1"/>
  <c r="G106" i="1"/>
  <c r="I107" i="1"/>
  <c r="H111" i="1"/>
  <c r="F111" i="1"/>
  <c r="I112" i="1"/>
  <c r="I114" i="1"/>
  <c r="H120" i="1"/>
  <c r="F120" i="1"/>
  <c r="G120" i="1"/>
  <c r="I124" i="1"/>
  <c r="I132" i="1"/>
  <c r="H133" i="1"/>
  <c r="F133" i="1"/>
  <c r="G133" i="1"/>
  <c r="I134" i="1"/>
  <c r="I143" i="1"/>
  <c r="H147" i="1"/>
  <c r="F147" i="1"/>
  <c r="G147" i="1"/>
  <c r="I148" i="1"/>
  <c r="I151" i="1"/>
  <c r="H152" i="1"/>
  <c r="F152" i="1"/>
  <c r="G152" i="1"/>
  <c r="I153" i="1"/>
  <c r="I154" i="1"/>
  <c r="I155" i="1"/>
  <c r="H156" i="1"/>
  <c r="F156" i="1"/>
  <c r="G156" i="1"/>
  <c r="H162" i="1"/>
  <c r="F162" i="1"/>
  <c r="H165" i="1"/>
  <c r="F165" i="1"/>
  <c r="G165" i="1"/>
  <c r="H166" i="1"/>
  <c r="F166" i="1"/>
  <c r="G166" i="1"/>
  <c r="H167" i="1"/>
  <c r="F167" i="1"/>
  <c r="G167" i="1"/>
  <c r="I169" i="1"/>
  <c r="I170" i="1"/>
  <c r="I171" i="1"/>
  <c r="I173" i="1"/>
  <c r="I174" i="1"/>
  <c r="I176" i="1"/>
  <c r="I177" i="1"/>
  <c r="I179" i="1"/>
  <c r="I181" i="1"/>
  <c r="I182" i="1"/>
  <c r="H183" i="1"/>
  <c r="F183" i="1"/>
  <c r="G183" i="1"/>
  <c r="H184" i="1"/>
  <c r="F184" i="1"/>
  <c r="G184" i="1"/>
  <c r="H185" i="1"/>
  <c r="F185" i="1"/>
  <c r="G185" i="1"/>
  <c r="I186" i="1"/>
  <c r="I187" i="1"/>
  <c r="I188" i="1"/>
  <c r="H189" i="1"/>
  <c r="F189" i="1"/>
  <c r="G189" i="1"/>
  <c r="I191" i="1"/>
  <c r="H192" i="1"/>
  <c r="F192" i="1"/>
  <c r="G192" i="1"/>
  <c r="I196" i="1"/>
  <c r="I197" i="1"/>
  <c r="I198" i="1"/>
  <c r="H199" i="1"/>
  <c r="F199" i="1"/>
  <c r="G199" i="1"/>
  <c r="I200" i="1"/>
  <c r="H202" i="1"/>
  <c r="F202" i="1"/>
  <c r="G202" i="1"/>
  <c r="I203" i="1"/>
  <c r="H201" i="1"/>
  <c r="F201" i="1"/>
  <c r="H204" i="1"/>
  <c r="F204" i="1"/>
  <c r="I205" i="1"/>
  <c r="I206" i="1"/>
  <c r="I209" i="1"/>
  <c r="I210" i="1"/>
  <c r="I211" i="1"/>
  <c r="H212" i="1"/>
  <c r="F212" i="1"/>
  <c r="H214" i="1"/>
  <c r="F214" i="1"/>
  <c r="G214" i="1"/>
  <c r="I215" i="1"/>
  <c r="H217" i="1"/>
  <c r="F217" i="1"/>
  <c r="G217" i="1"/>
  <c r="H218" i="1"/>
  <c r="F218" i="1"/>
  <c r="G218" i="1"/>
  <c r="I219" i="1"/>
  <c r="I220" i="1"/>
  <c r="I221" i="1"/>
  <c r="H223" i="1"/>
  <c r="F223" i="1"/>
  <c r="H224" i="1"/>
  <c r="F224" i="1"/>
  <c r="G224" i="1"/>
  <c r="H225" i="1"/>
  <c r="F225" i="1"/>
  <c r="G225" i="1"/>
  <c r="H226" i="1"/>
  <c r="F226" i="1"/>
  <c r="G226" i="1"/>
  <c r="H228" i="1"/>
  <c r="F228" i="1"/>
  <c r="G228" i="1"/>
  <c r="I229" i="1"/>
  <c r="H232" i="1"/>
  <c r="F232" i="1"/>
  <c r="G232" i="1"/>
  <c r="H231" i="1"/>
  <c r="F231" i="1"/>
  <c r="G231" i="1"/>
  <c r="I237" i="1"/>
  <c r="F236" i="1"/>
  <c r="G236" i="1"/>
  <c r="I238" i="1"/>
  <c r="H243" i="1"/>
  <c r="F243" i="1"/>
  <c r="G243" i="1"/>
  <c r="I245" i="1"/>
  <c r="I246" i="1"/>
  <c r="F247" i="1"/>
  <c r="G247" i="1"/>
  <c r="I248" i="1"/>
  <c r="H249" i="1"/>
  <c r="F249" i="1"/>
  <c r="H250" i="1"/>
  <c r="F250" i="1"/>
  <c r="G250" i="1"/>
  <c r="I259" i="1"/>
  <c r="I261" i="1"/>
  <c r="H262" i="1"/>
  <c r="F262" i="1"/>
  <c r="G262" i="1"/>
  <c r="I264" i="1"/>
  <c r="I269" i="1"/>
  <c r="I271" i="1"/>
  <c r="I270" i="1"/>
  <c r="H274" i="1"/>
  <c r="F274" i="1"/>
  <c r="H275" i="1"/>
  <c r="F275" i="1"/>
  <c r="H276" i="1"/>
  <c r="F276" i="1"/>
  <c r="G276" i="1"/>
  <c r="I278" i="1"/>
  <c r="I279" i="1"/>
  <c r="H280" i="1"/>
  <c r="F280" i="1"/>
  <c r="G280" i="1"/>
  <c r="H281" i="1"/>
  <c r="F281" i="1"/>
  <c r="G281" i="1"/>
  <c r="H282" i="1"/>
  <c r="F282" i="1"/>
  <c r="I283" i="1"/>
  <c r="I284" i="1"/>
  <c r="I285" i="1"/>
  <c r="I286" i="1"/>
  <c r="I287" i="1"/>
  <c r="H288" i="1"/>
  <c r="F288" i="1"/>
  <c r="G288" i="1"/>
  <c r="I289" i="1"/>
  <c r="I290" i="1"/>
  <c r="H291" i="1"/>
  <c r="F291" i="1"/>
  <c r="G291" i="1"/>
  <c r="I292" i="1"/>
  <c r="I293" i="1"/>
  <c r="H294" i="1"/>
  <c r="F294" i="1"/>
  <c r="G294" i="1"/>
  <c r="I297" i="1"/>
  <c r="I298" i="1"/>
  <c r="I299" i="1"/>
  <c r="H300" i="1"/>
  <c r="F300" i="1"/>
  <c r="G300" i="1"/>
  <c r="H302" i="1"/>
  <c r="F302" i="1"/>
  <c r="G302" i="1"/>
  <c r="I305" i="1"/>
  <c r="I307" i="1"/>
  <c r="H308" i="1"/>
  <c r="F308" i="1"/>
  <c r="G308" i="1"/>
  <c r="H312" i="1"/>
  <c r="F312" i="1"/>
  <c r="G312" i="1"/>
  <c r="H313" i="1"/>
  <c r="F313" i="1"/>
  <c r="G313" i="1"/>
  <c r="I314" i="1"/>
  <c r="H318" i="1"/>
  <c r="F318" i="1"/>
  <c r="G318" i="1"/>
  <c r="H319" i="1"/>
  <c r="F319" i="1"/>
  <c r="G319" i="1"/>
  <c r="I320" i="1"/>
  <c r="H327" i="1"/>
  <c r="F327" i="1"/>
  <c r="G327" i="1"/>
  <c r="I328" i="1"/>
  <c r="I329" i="1"/>
  <c r="H330" i="1"/>
  <c r="F330" i="1"/>
  <c r="G330" i="1"/>
  <c r="H331" i="1"/>
  <c r="F331" i="1"/>
  <c r="G331" i="1"/>
  <c r="H332" i="1"/>
  <c r="F332" i="1"/>
  <c r="G332" i="1"/>
  <c r="H333" i="1"/>
  <c r="F333" i="1"/>
  <c r="G333" i="1"/>
  <c r="I337" i="1"/>
  <c r="H338" i="1"/>
  <c r="F338" i="1"/>
  <c r="G338" i="1"/>
  <c r="I341" i="1"/>
  <c r="I342" i="1"/>
  <c r="I344" i="1"/>
  <c r="I345" i="1"/>
  <c r="I346" i="1"/>
  <c r="I348" i="1"/>
  <c r="H349" i="1"/>
  <c r="F349" i="1"/>
  <c r="H350" i="1"/>
  <c r="F350" i="1"/>
  <c r="G350" i="1"/>
  <c r="H354" i="1"/>
  <c r="F354" i="1"/>
  <c r="G354" i="1"/>
  <c r="I359" i="1"/>
  <c r="I361" i="1"/>
  <c r="H363" i="1"/>
  <c r="F363" i="1"/>
  <c r="G363" i="1"/>
  <c r="H364" i="1"/>
  <c r="F364" i="1"/>
  <c r="G364" i="1"/>
  <c r="H366" i="1"/>
  <c r="F366" i="1"/>
  <c r="G366" i="1"/>
  <c r="I369" i="1"/>
  <c r="I370" i="1"/>
  <c r="I371" i="1"/>
  <c r="H372" i="1"/>
  <c r="F372" i="1"/>
  <c r="G372" i="1"/>
  <c r="I374" i="1"/>
  <c r="I376" i="1"/>
  <c r="H377" i="1"/>
  <c r="F377" i="1"/>
  <c r="G377" i="1"/>
  <c r="H379" i="1"/>
  <c r="F379" i="1"/>
  <c r="I381" i="1"/>
  <c r="H378" i="1"/>
  <c r="F378" i="1"/>
  <c r="G378" i="1"/>
  <c r="I383" i="1"/>
  <c r="H384" i="1"/>
  <c r="F384" i="1"/>
  <c r="G384" i="1"/>
  <c r="I385" i="1"/>
  <c r="H386" i="1"/>
  <c r="F386" i="1"/>
  <c r="G386" i="1"/>
  <c r="I387" i="1"/>
  <c r="H388" i="1"/>
  <c r="F388" i="1"/>
  <c r="G388" i="1"/>
  <c r="H391" i="1"/>
  <c r="F391" i="1"/>
  <c r="G391" i="1"/>
  <c r="H392" i="1"/>
  <c r="F392" i="1"/>
  <c r="G392" i="1"/>
  <c r="H394" i="1"/>
  <c r="F394" i="1"/>
  <c r="G394" i="1"/>
  <c r="H395" i="1"/>
  <c r="F395" i="1"/>
  <c r="G395" i="1"/>
  <c r="I396" i="1"/>
  <c r="H398" i="1"/>
  <c r="F398" i="1"/>
  <c r="G398" i="1"/>
  <c r="H399" i="1"/>
  <c r="F399" i="1"/>
  <c r="G399" i="1"/>
  <c r="H400" i="1"/>
  <c r="F400" i="1"/>
  <c r="G400" i="1"/>
  <c r="I402" i="1"/>
  <c r="I403" i="1"/>
  <c r="I404" i="1"/>
  <c r="H405" i="1"/>
  <c r="F405" i="1"/>
  <c r="G405" i="1"/>
  <c r="H409" i="1"/>
  <c r="F409" i="1"/>
  <c r="G409" i="1"/>
  <c r="H412" i="1"/>
  <c r="F412" i="1"/>
  <c r="G412" i="1"/>
  <c r="H411" i="1"/>
  <c r="F411" i="1"/>
  <c r="G411" i="1"/>
  <c r="H407" i="1"/>
  <c r="F407" i="1"/>
  <c r="G407" i="1"/>
  <c r="H416" i="1"/>
  <c r="F416" i="1"/>
  <c r="G416" i="1"/>
  <c r="I417" i="1"/>
  <c r="I418" i="1"/>
  <c r="H419" i="1"/>
  <c r="F419" i="1"/>
  <c r="G419" i="1"/>
  <c r="H420" i="1"/>
  <c r="F420" i="1"/>
  <c r="H421" i="1"/>
  <c r="F421" i="1"/>
  <c r="G421" i="1"/>
  <c r="I422" i="1"/>
  <c r="I424" i="1"/>
  <c r="I425" i="1"/>
  <c r="H426" i="1"/>
  <c r="F426" i="1"/>
  <c r="G426" i="1"/>
  <c r="I423" i="1"/>
  <c r="I430" i="1"/>
  <c r="I431" i="1"/>
  <c r="H432" i="1"/>
  <c r="F432" i="1"/>
  <c r="G432" i="1"/>
  <c r="I433" i="1"/>
  <c r="I434" i="1"/>
  <c r="I435" i="1"/>
  <c r="I436" i="1"/>
  <c r="I440" i="1"/>
  <c r="I441" i="1"/>
  <c r="I442" i="1"/>
  <c r="I444" i="1"/>
  <c r="H445" i="1"/>
  <c r="F445" i="1"/>
  <c r="G445" i="1"/>
  <c r="I446" i="1"/>
  <c r="I451" i="1"/>
  <c r="H455" i="1"/>
  <c r="F455" i="1"/>
  <c r="H456" i="1"/>
  <c r="F456" i="1"/>
  <c r="G456" i="1"/>
  <c r="I457" i="1"/>
  <c r="H458" i="1"/>
  <c r="F458" i="1"/>
  <c r="G458" i="1"/>
  <c r="H459" i="1"/>
  <c r="F459" i="1"/>
  <c r="H460" i="1"/>
  <c r="F460" i="1"/>
  <c r="G460" i="1"/>
  <c r="H462" i="1"/>
  <c r="F462" i="1"/>
  <c r="G462" i="1"/>
  <c r="I464" i="1"/>
  <c r="I465" i="1"/>
  <c r="I466" i="1"/>
  <c r="H467" i="1"/>
  <c r="F467" i="1"/>
  <c r="G467" i="1"/>
  <c r="I469" i="1"/>
  <c r="I477" i="1"/>
  <c r="I479" i="1"/>
  <c r="H480" i="1"/>
  <c r="F480" i="1"/>
  <c r="G480" i="1"/>
  <c r="H481" i="1"/>
  <c r="F481" i="1"/>
  <c r="G481" i="1"/>
  <c r="I482" i="1"/>
  <c r="I485" i="1"/>
  <c r="H486" i="1"/>
  <c r="F486" i="1"/>
  <c r="G486" i="1"/>
  <c r="H487" i="1"/>
  <c r="F487" i="1"/>
  <c r="G487" i="1"/>
  <c r="H488" i="1"/>
  <c r="F488" i="1"/>
  <c r="G488" i="1"/>
  <c r="I489" i="1"/>
  <c r="I490" i="1"/>
  <c r="H493" i="1"/>
  <c r="F493" i="1"/>
  <c r="G493" i="1"/>
  <c r="H495" i="1"/>
  <c r="F495" i="1"/>
  <c r="G495" i="1"/>
  <c r="H498" i="1"/>
  <c r="F498" i="1"/>
  <c r="G498" i="1"/>
  <c r="H499" i="1"/>
  <c r="F499" i="1"/>
  <c r="G499" i="1"/>
  <c r="H500" i="1"/>
  <c r="F500" i="1"/>
  <c r="G500" i="1"/>
  <c r="I501" i="1"/>
  <c r="I502" i="1"/>
  <c r="I503" i="1"/>
  <c r="I504" i="1"/>
  <c r="H508" i="1"/>
  <c r="F508" i="1"/>
  <c r="I510" i="1"/>
  <c r="H511" i="1"/>
  <c r="F511" i="1"/>
  <c r="G511" i="1"/>
  <c r="H512" i="1"/>
  <c r="F512" i="1"/>
  <c r="G512" i="1"/>
  <c r="H515" i="1"/>
  <c r="F515" i="1"/>
  <c r="G515" i="1"/>
  <c r="I516" i="1"/>
  <c r="I519" i="1"/>
  <c r="I520" i="1"/>
  <c r="H521" i="1"/>
  <c r="F521" i="1"/>
  <c r="H522" i="1"/>
  <c r="F522" i="1"/>
  <c r="G522" i="1"/>
  <c r="I526" i="1"/>
  <c r="H527" i="1"/>
  <c r="F527" i="1"/>
  <c r="G527" i="1"/>
  <c r="I528" i="1"/>
  <c r="I529" i="1"/>
  <c r="H530" i="1"/>
  <c r="F530" i="1"/>
  <c r="G530" i="1"/>
  <c r="I531" i="1"/>
  <c r="H538" i="1"/>
  <c r="F538" i="1"/>
  <c r="I539" i="1"/>
  <c r="I544" i="1"/>
  <c r="I545" i="1"/>
  <c r="I546" i="1"/>
  <c r="H548" i="1"/>
  <c r="F548" i="1"/>
  <c r="G548" i="1"/>
  <c r="I549" i="1"/>
  <c r="H550" i="1"/>
  <c r="F550" i="1"/>
  <c r="H551" i="1"/>
  <c r="F551" i="1"/>
  <c r="H552" i="1"/>
  <c r="F552" i="1"/>
  <c r="G552" i="1"/>
  <c r="H553" i="1"/>
  <c r="F553" i="1"/>
  <c r="G553" i="1"/>
  <c r="I554" i="1"/>
  <c r="I555" i="1"/>
  <c r="I556" i="1"/>
  <c r="F557" i="1"/>
  <c r="I557" i="1" s="1"/>
  <c r="I558" i="1"/>
  <c r="I560" i="1"/>
  <c r="I561" i="1"/>
  <c r="H564" i="1"/>
  <c r="F564" i="1"/>
  <c r="G564" i="1"/>
  <c r="I565" i="1"/>
  <c r="I566" i="1"/>
  <c r="I567" i="1"/>
  <c r="H568" i="1"/>
  <c r="F568" i="1"/>
  <c r="G568" i="1"/>
  <c r="I569" i="1"/>
  <c r="I571" i="1"/>
  <c r="I572" i="1"/>
  <c r="H573" i="1"/>
  <c r="F573" i="1"/>
  <c r="G573" i="1"/>
  <c r="H575" i="1"/>
  <c r="F575" i="1"/>
  <c r="G575" i="1"/>
  <c r="H574" i="1"/>
  <c r="F574" i="1"/>
  <c r="I576" i="1"/>
  <c r="I577" i="1"/>
  <c r="I578" i="1"/>
  <c r="H579" i="1"/>
  <c r="F579" i="1"/>
  <c r="I581" i="1"/>
  <c r="H580" i="1"/>
  <c r="F580" i="1"/>
  <c r="G580" i="1"/>
  <c r="I582" i="1"/>
  <c r="I583" i="1"/>
  <c r="H586" i="1"/>
  <c r="F586" i="1"/>
  <c r="G586" i="1"/>
  <c r="I590" i="1"/>
  <c r="H594" i="1"/>
  <c r="F594" i="1"/>
  <c r="H595" i="1"/>
  <c r="F595" i="1"/>
  <c r="G595" i="1"/>
  <c r="H596" i="1"/>
  <c r="F596" i="1"/>
  <c r="G596" i="1"/>
  <c r="I601" i="1"/>
  <c r="H600" i="1"/>
  <c r="F600" i="1"/>
  <c r="G600" i="1"/>
  <c r="H605" i="1"/>
  <c r="F605" i="1"/>
  <c r="G605" i="1"/>
  <c r="I606" i="1"/>
  <c r="H607" i="1"/>
  <c r="F607" i="1"/>
  <c r="G607" i="1"/>
  <c r="H608" i="1"/>
  <c r="F608" i="1"/>
  <c r="G608" i="1"/>
  <c r="I609" i="1"/>
  <c r="I610" i="1"/>
  <c r="H611" i="1"/>
  <c r="F611" i="1"/>
  <c r="I612" i="1"/>
  <c r="I614" i="1"/>
  <c r="H618" i="1"/>
  <c r="F618" i="1"/>
  <c r="G618" i="1"/>
  <c r="I622" i="1"/>
  <c r="H623" i="1"/>
  <c r="F623" i="1"/>
  <c r="G623" i="1"/>
  <c r="H624" i="1"/>
  <c r="F624" i="1"/>
  <c r="G624" i="1"/>
  <c r="I625" i="1"/>
  <c r="H627" i="1"/>
  <c r="F627" i="1"/>
  <c r="G627" i="1"/>
  <c r="I630" i="1"/>
  <c r="I629" i="1"/>
  <c r="I631" i="1"/>
  <c r="I632" i="1"/>
  <c r="H633" i="1"/>
  <c r="F633" i="1"/>
  <c r="G633" i="1"/>
  <c r="H634" i="1"/>
  <c r="F634" i="1"/>
  <c r="G634" i="1"/>
  <c r="H636" i="1"/>
  <c r="F636" i="1"/>
  <c r="G636" i="1"/>
  <c r="H637" i="1"/>
  <c r="F637" i="1"/>
  <c r="G637" i="1"/>
  <c r="H638" i="1"/>
  <c r="F638" i="1"/>
  <c r="G638" i="1"/>
  <c r="I639" i="1"/>
  <c r="H640" i="1"/>
  <c r="F640" i="1"/>
  <c r="G640" i="1"/>
  <c r="I645" i="1"/>
  <c r="I646" i="1"/>
  <c r="H652" i="1"/>
  <c r="F652" i="1"/>
  <c r="G652" i="1"/>
  <c r="H654" i="1"/>
  <c r="F654" i="1"/>
  <c r="G654" i="1"/>
  <c r="H671" i="1"/>
  <c r="F671" i="1"/>
  <c r="G671" i="1"/>
  <c r="H670" i="1"/>
  <c r="F670" i="1"/>
  <c r="G670" i="1"/>
  <c r="H677" i="1"/>
  <c r="F677" i="1"/>
  <c r="G677" i="1"/>
  <c r="I686" i="1"/>
  <c r="H687" i="1"/>
  <c r="F687" i="1"/>
  <c r="G687" i="1"/>
  <c r="H688" i="1"/>
  <c r="F688" i="1"/>
  <c r="G688" i="1"/>
  <c r="F689" i="1"/>
  <c r="G689" i="1"/>
  <c r="H690" i="1"/>
  <c r="F690" i="1"/>
  <c r="G690" i="1"/>
  <c r="I691" i="1"/>
  <c r="F692" i="1"/>
  <c r="G692" i="1"/>
  <c r="H694" i="1"/>
  <c r="F694" i="1"/>
  <c r="G694" i="1"/>
  <c r="H695" i="1"/>
  <c r="F695" i="1"/>
  <c r="G695" i="1"/>
  <c r="H696" i="1"/>
  <c r="F696" i="1"/>
  <c r="I697" i="1"/>
  <c r="I700" i="1"/>
  <c r="I701" i="1"/>
  <c r="I704" i="1"/>
  <c r="H706" i="1"/>
  <c r="F706" i="1"/>
  <c r="G706" i="1"/>
  <c r="H728" i="1"/>
  <c r="F728" i="1"/>
  <c r="G728" i="1"/>
  <c r="I731" i="1"/>
  <c r="I733" i="1"/>
  <c r="H734" i="1"/>
  <c r="F734" i="1"/>
  <c r="G734" i="1"/>
  <c r="I738" i="1"/>
  <c r="I739" i="1"/>
  <c r="I740" i="1"/>
  <c r="I743" i="1"/>
  <c r="H745" i="1"/>
  <c r="F745" i="1"/>
  <c r="G745" i="1"/>
  <c r="H755" i="1"/>
  <c r="F755" i="1"/>
  <c r="G755" i="1"/>
  <c r="I766" i="1"/>
  <c r="H767" i="1"/>
  <c r="F767" i="1"/>
  <c r="G767" i="1"/>
  <c r="H768" i="1"/>
  <c r="F768" i="1"/>
  <c r="G768" i="1"/>
  <c r="I769" i="1"/>
  <c r="I770" i="1"/>
  <c r="H774" i="1"/>
  <c r="F774" i="1"/>
  <c r="G774" i="1"/>
  <c r="I775" i="1"/>
  <c r="H776" i="1"/>
  <c r="F776" i="1"/>
  <c r="I777" i="1"/>
  <c r="I778" i="1"/>
  <c r="I779" i="1"/>
  <c r="H780" i="1"/>
  <c r="F780" i="1"/>
  <c r="G780" i="1"/>
  <c r="H781" i="1"/>
  <c r="F781" i="1"/>
  <c r="G781" i="1"/>
  <c r="I782" i="1"/>
  <c r="I784" i="1"/>
  <c r="I786" i="1"/>
  <c r="I787" i="1"/>
  <c r="H788" i="1"/>
  <c r="F788" i="1"/>
  <c r="G788" i="1"/>
  <c r="H789" i="1"/>
  <c r="F789" i="1"/>
  <c r="G789" i="1"/>
  <c r="I791" i="1"/>
  <c r="H792" i="1"/>
  <c r="F792" i="1"/>
  <c r="I793" i="1"/>
  <c r="I794" i="1"/>
  <c r="I795" i="1"/>
  <c r="I797" i="1"/>
  <c r="H800" i="1"/>
  <c r="F800" i="1"/>
  <c r="G800" i="1"/>
  <c r="H801" i="1"/>
  <c r="F801" i="1"/>
  <c r="H802" i="1"/>
  <c r="F802" i="1"/>
  <c r="G802" i="1"/>
  <c r="H804" i="1"/>
  <c r="F804" i="1"/>
  <c r="G804" i="1"/>
  <c r="I805" i="1"/>
  <c r="H813" i="1"/>
  <c r="F813" i="1"/>
  <c r="G813" i="1"/>
  <c r="I814" i="1"/>
  <c r="H825" i="1"/>
  <c r="F825" i="1"/>
  <c r="G825" i="1"/>
  <c r="I826" i="1"/>
  <c r="I827" i="1"/>
  <c r="I832" i="1"/>
  <c r="H833" i="1"/>
  <c r="F833" i="1"/>
  <c r="G833" i="1"/>
  <c r="I834" i="1"/>
  <c r="I839" i="1"/>
  <c r="I846" i="1"/>
  <c r="H848" i="1"/>
  <c r="F848" i="1"/>
  <c r="G848" i="1"/>
  <c r="I850" i="1"/>
  <c r="H853" i="1"/>
  <c r="F853" i="1"/>
  <c r="G853" i="1"/>
  <c r="I854" i="1"/>
  <c r="I855" i="1"/>
  <c r="I856" i="1"/>
  <c r="H858" i="1"/>
  <c r="F858" i="1"/>
  <c r="G858" i="1"/>
  <c r="I862" i="1"/>
  <c r="I866" i="1"/>
  <c r="I867" i="1"/>
  <c r="I868" i="1"/>
  <c r="H871" i="1"/>
  <c r="F871" i="1"/>
  <c r="G871" i="1"/>
  <c r="I870" i="1"/>
  <c r="I872" i="1"/>
  <c r="I873" i="1"/>
  <c r="I874" i="1"/>
  <c r="H875" i="1"/>
  <c r="F875" i="1"/>
  <c r="G875" i="1"/>
  <c r="H876" i="1"/>
  <c r="F876" i="1"/>
  <c r="G876" i="1"/>
  <c r="H877" i="1"/>
  <c r="F877" i="1"/>
  <c r="G877" i="1"/>
  <c r="I878" i="1"/>
  <c r="H879" i="1"/>
  <c r="F879" i="1"/>
  <c r="G879" i="1"/>
  <c r="I880" i="1"/>
  <c r="H884" i="1"/>
  <c r="F884" i="1"/>
  <c r="G884" i="1"/>
  <c r="I889" i="1"/>
  <c r="H893" i="1"/>
  <c r="F893" i="1"/>
  <c r="G893" i="1"/>
  <c r="H896" i="1"/>
  <c r="F896" i="1"/>
  <c r="H895" i="1"/>
  <c r="F895" i="1"/>
  <c r="G895" i="1"/>
  <c r="I897" i="1"/>
  <c r="I898" i="1"/>
  <c r="H899" i="1"/>
  <c r="F899" i="1"/>
  <c r="G899" i="1"/>
  <c r="H900" i="1"/>
  <c r="F900" i="1"/>
  <c r="G900" i="1"/>
  <c r="H901" i="1"/>
  <c r="F901" i="1"/>
  <c r="G901" i="1"/>
  <c r="I902" i="1"/>
  <c r="I903" i="1"/>
  <c r="H904" i="1"/>
  <c r="F904" i="1"/>
  <c r="G904" i="1"/>
  <c r="H906" i="1"/>
  <c r="F906" i="1"/>
  <c r="G906" i="1"/>
  <c r="I911" i="1"/>
  <c r="I914" i="1"/>
  <c r="I920" i="1"/>
  <c r="H923" i="1"/>
  <c r="F923" i="1"/>
  <c r="H926" i="1"/>
  <c r="F926" i="1"/>
  <c r="G926" i="1"/>
  <c r="I929" i="1"/>
  <c r="I930" i="1"/>
  <c r="H932" i="1"/>
  <c r="F932" i="1"/>
  <c r="G932" i="1"/>
  <c r="I934" i="1"/>
  <c r="I936" i="1"/>
  <c r="I938" i="1"/>
  <c r="H939" i="1"/>
  <c r="F939" i="1"/>
  <c r="G939" i="1"/>
  <c r="H946" i="1"/>
  <c r="F946" i="1"/>
  <c r="G946" i="1"/>
  <c r="H947" i="1"/>
  <c r="F947" i="1"/>
  <c r="G947" i="1"/>
  <c r="I948" i="1"/>
  <c r="I949" i="1"/>
  <c r="H950" i="1"/>
  <c r="F950" i="1"/>
  <c r="G950" i="1"/>
  <c r="I951" i="1"/>
  <c r="I952" i="1"/>
  <c r="I953" i="1"/>
  <c r="I954" i="1"/>
  <c r="I955" i="1"/>
  <c r="I957" i="1"/>
  <c r="I961" i="1"/>
  <c r="H970" i="1"/>
  <c r="F970" i="1"/>
  <c r="G970" i="1"/>
  <c r="H973" i="1"/>
  <c r="F973" i="1"/>
  <c r="G973" i="1"/>
  <c r="H976" i="1"/>
  <c r="F976" i="1"/>
  <c r="G976" i="1"/>
  <c r="H975" i="1"/>
  <c r="F975" i="1"/>
  <c r="I978" i="1"/>
  <c r="H981" i="1"/>
  <c r="F981" i="1"/>
  <c r="G981" i="1"/>
  <c r="I982" i="1"/>
  <c r="H983" i="1"/>
  <c r="F983" i="1"/>
  <c r="G983" i="1"/>
  <c r="I985" i="1"/>
  <c r="H984" i="1"/>
  <c r="F984" i="1"/>
  <c r="G984" i="1"/>
  <c r="H986" i="1"/>
  <c r="F986" i="1"/>
  <c r="G986" i="1"/>
  <c r="I987" i="1"/>
  <c r="I988" i="1"/>
  <c r="I990" i="1"/>
  <c r="I991" i="1"/>
  <c r="H992" i="1"/>
  <c r="F992" i="1"/>
  <c r="G992" i="1"/>
  <c r="I993" i="1"/>
  <c r="H994" i="1"/>
  <c r="F994" i="1"/>
  <c r="G994" i="1"/>
  <c r="H995" i="1"/>
  <c r="F995" i="1"/>
  <c r="I996" i="1"/>
  <c r="I997" i="1"/>
  <c r="H998" i="1"/>
  <c r="F998" i="1"/>
  <c r="G998" i="1"/>
  <c r="I1012" i="1"/>
  <c r="I999" i="1"/>
  <c r="I1000" i="1"/>
  <c r="I1001" i="1"/>
  <c r="I1002" i="1"/>
  <c r="I1004" i="1"/>
  <c r="I1006" i="1"/>
  <c r="I1008" i="1"/>
  <c r="H1009" i="1"/>
  <c r="F1009" i="1"/>
  <c r="G1009" i="1"/>
  <c r="I1014" i="1"/>
  <c r="I1018" i="1"/>
  <c r="I1020" i="1"/>
  <c r="I1021" i="1"/>
  <c r="H1019" i="1"/>
  <c r="F1019" i="1"/>
  <c r="G1019" i="1"/>
  <c r="H1025" i="1"/>
  <c r="F1025" i="1"/>
  <c r="G1025" i="1"/>
  <c r="H1030" i="1"/>
  <c r="F1030" i="1"/>
  <c r="G1030" i="1"/>
  <c r="I1033" i="1"/>
  <c r="I1034" i="1"/>
  <c r="H1053" i="1"/>
  <c r="F1053" i="1"/>
  <c r="G1053" i="1"/>
  <c r="H1055" i="1"/>
  <c r="F1055" i="1"/>
  <c r="G1055" i="1"/>
  <c r="H1056" i="1"/>
  <c r="F1056" i="1"/>
  <c r="G1056" i="1"/>
  <c r="H1058" i="1"/>
  <c r="F1058" i="1"/>
  <c r="G1058" i="1"/>
  <c r="I1059" i="1"/>
  <c r="I1060" i="1"/>
  <c r="H1062" i="1"/>
  <c r="F1062" i="1"/>
  <c r="G1062" i="1"/>
  <c r="I1063" i="1"/>
  <c r="I1064" i="1"/>
  <c r="H1065" i="1"/>
  <c r="F1065" i="1"/>
  <c r="G1065" i="1"/>
  <c r="H1066" i="1"/>
  <c r="F1066" i="1"/>
  <c r="H1067" i="1"/>
  <c r="F1067" i="1"/>
  <c r="G1067" i="1"/>
  <c r="F1068" i="1"/>
  <c r="G1068" i="1"/>
  <c r="H1071" i="1"/>
  <c r="G1071" i="1"/>
  <c r="I1072" i="1"/>
  <c r="I1075" i="1"/>
  <c r="H1076" i="1"/>
  <c r="F1076" i="1"/>
  <c r="G1076" i="1"/>
  <c r="H1077" i="1"/>
  <c r="F1077" i="1"/>
  <c r="G1077" i="1"/>
  <c r="H1079" i="1"/>
  <c r="F1079" i="1"/>
  <c r="G1079" i="1"/>
  <c r="H1081" i="1"/>
  <c r="F1081" i="1"/>
  <c r="G1081" i="1"/>
  <c r="I1084" i="1"/>
  <c r="H1085" i="1"/>
  <c r="F1085" i="1"/>
  <c r="G1085" i="1"/>
  <c r="I1087" i="1"/>
  <c r="I1088" i="1"/>
  <c r="I1089" i="1"/>
  <c r="I1090" i="1"/>
  <c r="H1091" i="1"/>
  <c r="F1091" i="1"/>
  <c r="G1091" i="1"/>
  <c r="H1092" i="1"/>
  <c r="F1092" i="1"/>
  <c r="G1092" i="1"/>
  <c r="H1093" i="1"/>
  <c r="F1093" i="1"/>
  <c r="G1093" i="1"/>
  <c r="H1097" i="1"/>
  <c r="F1097" i="1"/>
  <c r="G1097" i="1"/>
  <c r="H1098" i="1"/>
  <c r="F1098" i="1"/>
  <c r="G1098" i="1"/>
  <c r="H1095" i="1"/>
  <c r="F1095" i="1"/>
  <c r="G1095" i="1"/>
  <c r="H1096" i="1"/>
  <c r="F1096" i="1"/>
  <c r="G1096" i="1"/>
  <c r="H1101" i="1"/>
  <c r="F1101" i="1"/>
  <c r="G1101" i="1"/>
  <c r="I1102" i="1"/>
  <c r="H1103" i="1"/>
  <c r="F1103" i="1"/>
  <c r="I1105" i="1"/>
  <c r="I1107" i="1"/>
  <c r="H1108" i="1"/>
  <c r="F1108" i="1"/>
  <c r="G1108" i="1"/>
  <c r="I1111" i="1"/>
  <c r="H1112" i="1"/>
  <c r="F1112" i="1"/>
  <c r="I1113" i="1"/>
  <c r="H1116" i="1"/>
  <c r="F1116" i="1"/>
  <c r="G1116" i="1"/>
  <c r="H1117" i="1"/>
  <c r="F1117" i="1"/>
  <c r="G1117" i="1"/>
  <c r="H1122" i="1"/>
  <c r="F1122" i="1"/>
  <c r="G1122" i="1"/>
  <c r="H1124" i="1"/>
  <c r="F1124" i="1"/>
  <c r="G1124" i="1"/>
  <c r="H1126" i="1"/>
  <c r="F1126" i="1"/>
  <c r="G1126" i="1"/>
  <c r="H1128" i="1"/>
  <c r="F1128" i="1"/>
  <c r="I1129" i="1"/>
  <c r="I1132" i="1"/>
  <c r="H1143" i="1"/>
  <c r="F1143" i="1"/>
  <c r="G1143" i="1"/>
  <c r="I1144" i="1"/>
  <c r="H1148" i="1"/>
  <c r="F1148" i="1"/>
  <c r="G1148" i="1"/>
  <c r="I1149" i="1"/>
  <c r="H1150" i="1"/>
  <c r="F1150" i="1"/>
  <c r="G1150" i="1"/>
  <c r="I1152" i="1"/>
  <c r="I1153" i="1"/>
  <c r="H1154" i="1"/>
  <c r="F1154" i="1"/>
  <c r="G1154" i="1"/>
  <c r="I1155" i="1"/>
  <c r="H1160" i="1"/>
  <c r="F1160" i="1"/>
  <c r="G1160" i="1"/>
  <c r="I1161" i="1"/>
  <c r="H1162" i="1"/>
  <c r="F1162" i="1"/>
  <c r="I1163" i="1"/>
  <c r="I1164" i="1"/>
  <c r="H1167" i="1"/>
  <c r="F1167" i="1"/>
  <c r="G1167" i="1"/>
  <c r="I1171" i="1"/>
  <c r="I1172" i="1"/>
  <c r="H1173" i="1"/>
  <c r="F1173" i="1"/>
  <c r="G1173" i="1"/>
  <c r="H1174" i="1"/>
  <c r="F1174" i="1"/>
  <c r="I1175" i="1"/>
  <c r="I1176" i="1"/>
  <c r="I1178" i="1"/>
  <c r="H1180" i="1"/>
  <c r="F1180" i="1"/>
  <c r="G1180" i="1"/>
  <c r="I1181" i="1"/>
  <c r="I1182" i="1"/>
  <c r="I1183" i="1"/>
  <c r="I1184" i="1"/>
  <c r="H1191" i="1"/>
  <c r="F1191" i="1"/>
  <c r="G1191" i="1"/>
  <c r="H1192" i="1"/>
  <c r="F1192" i="1"/>
  <c r="G1192" i="1"/>
  <c r="I1200" i="1"/>
  <c r="F1201" i="1"/>
  <c r="I1201" i="1" s="1"/>
  <c r="H1205" i="1"/>
  <c r="F1205" i="1"/>
  <c r="G1205" i="1"/>
  <c r="H1213" i="1"/>
  <c r="F1213" i="1"/>
  <c r="G1213" i="1"/>
  <c r="H1215" i="1"/>
  <c r="F1215" i="1"/>
  <c r="G1215" i="1"/>
  <c r="H1226" i="1"/>
  <c r="F1226" i="1"/>
  <c r="G1226" i="1"/>
  <c r="I1227" i="1"/>
  <c r="I1229" i="1"/>
  <c r="I1228" i="1"/>
  <c r="I1230" i="1"/>
  <c r="I1231" i="1"/>
  <c r="I1233" i="1"/>
  <c r="H1234" i="1"/>
  <c r="F1234" i="1"/>
  <c r="G1234" i="1"/>
  <c r="I1235" i="1"/>
  <c r="I1240" i="1"/>
  <c r="I1242" i="1"/>
  <c r="I1254" i="1"/>
  <c r="H1271" i="1"/>
  <c r="F1271" i="1"/>
  <c r="G1271" i="1"/>
  <c r="I1275" i="1"/>
  <c r="H1279" i="1"/>
  <c r="F1279" i="1"/>
  <c r="H1280" i="1"/>
  <c r="F1280" i="1"/>
  <c r="G1280" i="1"/>
  <c r="H1285" i="1"/>
  <c r="F1285" i="1"/>
  <c r="G1285" i="1"/>
  <c r="I1288" i="1"/>
  <c r="I1312" i="1"/>
  <c r="I1328" i="1"/>
  <c r="H1346" i="1"/>
  <c r="F1346" i="1"/>
  <c r="G1346" i="1"/>
  <c r="H1293" i="1"/>
  <c r="F1293" i="1"/>
  <c r="G1293" i="1"/>
  <c r="I1315" i="1"/>
  <c r="H1337" i="1"/>
  <c r="F1337" i="1"/>
  <c r="G1337" i="1"/>
  <c r="I1353" i="1"/>
  <c r="H1354" i="1"/>
  <c r="F1354" i="1"/>
  <c r="G1354" i="1"/>
  <c r="H1358" i="1"/>
  <c r="F1358" i="1"/>
  <c r="G1358" i="1"/>
  <c r="H1360" i="1"/>
  <c r="F1360" i="1"/>
  <c r="G1360" i="1"/>
  <c r="I1361" i="1"/>
  <c r="H1362" i="1"/>
  <c r="F1362" i="1"/>
  <c r="G1362" i="1"/>
  <c r="I1363" i="1"/>
  <c r="I1364" i="1"/>
  <c r="I1365" i="1"/>
  <c r="I1366" i="1"/>
  <c r="I1367" i="1"/>
  <c r="I1368" i="1"/>
  <c r="I1369" i="1"/>
  <c r="I1370" i="1"/>
  <c r="I1372" i="1"/>
  <c r="H1376" i="1"/>
  <c r="F1376" i="1"/>
  <c r="G1376" i="1"/>
  <c r="I1381" i="1"/>
  <c r="I1385" i="1"/>
  <c r="I1387" i="1"/>
  <c r="H1386" i="1"/>
  <c r="F1386" i="1"/>
  <c r="I1388" i="1"/>
  <c r="I1389" i="1"/>
  <c r="I1390" i="1"/>
  <c r="I1391" i="1"/>
  <c r="I1393" i="1"/>
  <c r="I1400" i="1"/>
  <c r="H1404" i="1"/>
  <c r="F1404" i="1"/>
  <c r="G1404" i="1"/>
  <c r="H1411" i="1"/>
  <c r="F1411" i="1"/>
  <c r="G1411" i="1"/>
  <c r="H1415" i="1"/>
  <c r="F1415" i="1"/>
  <c r="G1415" i="1"/>
  <c r="I1416" i="1"/>
  <c r="I1418" i="1"/>
  <c r="I1419" i="1"/>
  <c r="H1423" i="1"/>
  <c r="F1423" i="1"/>
  <c r="I1431" i="1"/>
  <c r="I1434" i="1"/>
  <c r="H1435" i="1"/>
  <c r="F1435" i="1"/>
  <c r="G1435" i="1"/>
  <c r="I1436" i="1"/>
  <c r="I1438" i="1"/>
  <c r="I1445" i="1"/>
  <c r="I1446" i="1"/>
  <c r="I1452" i="1"/>
  <c r="H1453" i="1"/>
  <c r="F1453" i="1"/>
  <c r="G1453" i="1"/>
  <c r="I1456" i="1"/>
  <c r="H1457" i="1"/>
  <c r="F1457" i="1"/>
  <c r="G1457" i="1"/>
  <c r="I1458" i="1"/>
  <c r="I1459" i="1"/>
  <c r="H1460" i="1"/>
  <c r="F1460" i="1"/>
  <c r="G1460" i="1"/>
  <c r="I1471" i="1"/>
  <c r="I1472" i="1"/>
  <c r="I1474" i="1"/>
  <c r="I1475" i="1"/>
  <c r="H1476" i="1"/>
  <c r="F1476" i="1"/>
  <c r="G1476" i="1"/>
  <c r="I1480" i="1"/>
  <c r="I1481" i="1"/>
  <c r="I1482" i="1"/>
  <c r="I1488" i="1"/>
  <c r="H1490" i="1"/>
  <c r="F1490" i="1"/>
  <c r="G1490" i="1"/>
  <c r="H1493" i="1"/>
  <c r="F1493" i="1"/>
  <c r="G1493" i="1"/>
  <c r="H1498" i="1"/>
  <c r="F1498" i="1"/>
  <c r="I1500" i="1"/>
  <c r="H1501" i="1"/>
  <c r="F1501" i="1"/>
  <c r="G1501" i="1"/>
  <c r="H1502" i="1"/>
  <c r="F1502" i="1"/>
  <c r="G1502" i="1"/>
  <c r="I1503" i="1"/>
  <c r="I1506" i="1"/>
  <c r="I1508" i="1"/>
  <c r="H1511" i="1"/>
  <c r="F1511" i="1"/>
  <c r="G1511" i="1"/>
  <c r="I1513" i="1"/>
  <c r="I1515" i="1"/>
  <c r="H1516" i="1"/>
  <c r="F1516" i="1"/>
  <c r="G1516" i="1"/>
  <c r="I1517" i="1"/>
  <c r="I1518" i="1"/>
  <c r="I1519" i="1"/>
  <c r="I1520" i="1"/>
  <c r="I1523" i="1"/>
  <c r="I1525" i="1"/>
  <c r="H1526" i="1"/>
  <c r="F1526" i="1"/>
  <c r="G1526" i="1"/>
  <c r="I1527" i="1"/>
  <c r="I1528" i="1"/>
  <c r="I1529" i="1"/>
  <c r="H1530" i="1"/>
  <c r="F1530" i="1"/>
  <c r="G1530" i="1"/>
  <c r="I1531" i="1"/>
  <c r="I1532" i="1"/>
  <c r="H1533" i="1"/>
  <c r="F1533" i="1"/>
  <c r="G1533" i="1"/>
  <c r="H1535" i="1"/>
  <c r="G1535" i="1"/>
  <c r="I1537" i="1"/>
  <c r="I1540" i="1"/>
  <c r="H1541" i="1"/>
  <c r="F1541" i="1"/>
  <c r="G1541" i="1"/>
  <c r="I1542" i="1"/>
  <c r="H1543" i="1"/>
  <c r="F1543" i="1"/>
  <c r="G1543" i="1"/>
  <c r="I1544" i="1"/>
  <c r="I1545" i="1"/>
  <c r="I1546" i="1"/>
  <c r="I1547" i="1"/>
  <c r="H1548" i="1"/>
  <c r="F1548" i="1"/>
  <c r="G1548" i="1"/>
  <c r="I1549" i="1"/>
  <c r="H1551" i="1"/>
  <c r="F1551" i="1"/>
  <c r="G1551" i="1"/>
  <c r="H1553" i="1"/>
  <c r="F1553" i="1"/>
  <c r="G1553" i="1"/>
  <c r="I1554" i="1"/>
  <c r="F1555" i="1"/>
  <c r="G1555" i="1"/>
  <c r="H1556" i="1"/>
  <c r="F1556" i="1"/>
  <c r="G1556" i="1"/>
  <c r="I1557" i="1"/>
  <c r="H1421" i="1"/>
  <c r="F1421" i="1"/>
  <c r="G1421" i="1"/>
  <c r="H1047" i="1"/>
  <c r="F1047" i="1"/>
  <c r="G1047" i="1"/>
  <c r="F1241" i="1"/>
  <c r="G1241" i="1"/>
  <c r="F105" i="1"/>
  <c r="G105" i="1"/>
  <c r="I593" i="1"/>
  <c r="F958" i="1"/>
  <c r="G958" i="1"/>
  <c r="F1207" i="1"/>
  <c r="G1207" i="1"/>
  <c r="F1441" i="1"/>
  <c r="G1441" i="1"/>
  <c r="F1464" i="1"/>
  <c r="G1464" i="1"/>
  <c r="I475" i="1"/>
  <c r="K46" i="1"/>
  <c r="K1441" i="1"/>
  <c r="K1207" i="1"/>
  <c r="K958" i="1"/>
  <c r="K852" i="1"/>
  <c r="K1457" i="1"/>
  <c r="K1241" i="1"/>
  <c r="K1047" i="1"/>
  <c r="K932" i="1"/>
  <c r="K755" i="1"/>
  <c r="K1421" i="1"/>
  <c r="K1096" i="1"/>
  <c r="K1095" i="1"/>
  <c r="K199" i="1"/>
  <c r="K1231" i="1"/>
  <c r="K986" i="1"/>
  <c r="K515" i="1"/>
  <c r="K416" i="1"/>
  <c r="K1543" i="1"/>
  <c r="K1055" i="1"/>
  <c r="K265" i="1"/>
  <c r="K1553" i="1"/>
  <c r="K1213" i="1"/>
  <c r="K690" i="1"/>
  <c r="K688" i="1"/>
  <c r="K687" i="1"/>
  <c r="K677" i="1"/>
  <c r="K654" i="1"/>
  <c r="K527" i="1"/>
  <c r="K395" i="1"/>
  <c r="K1404" i="1"/>
  <c r="K1337" i="1"/>
  <c r="K1124" i="1"/>
  <c r="K981" i="1"/>
  <c r="K823" i="1"/>
  <c r="K802" i="1"/>
  <c r="K540" i="1"/>
  <c r="K500" i="1"/>
  <c r="K411" i="1"/>
  <c r="K388" i="1"/>
  <c r="K27" i="1"/>
  <c r="K1148" i="1"/>
  <c r="K979" i="1"/>
  <c r="K789" i="1"/>
  <c r="K276" i="1"/>
  <c r="K1530" i="1"/>
  <c r="K939" i="1"/>
  <c r="K926" i="1"/>
  <c r="K458" i="1"/>
  <c r="K319" i="1"/>
  <c r="K288" i="1"/>
  <c r="K1150" i="1"/>
  <c r="K833" i="1"/>
  <c r="K825" i="1"/>
  <c r="K580" i="1"/>
  <c r="K548" i="1"/>
  <c r="K432" i="1"/>
  <c r="K302" i="1"/>
  <c r="K243" i="1"/>
  <c r="K218" i="1"/>
  <c r="K184" i="1"/>
  <c r="K1453" i="1"/>
  <c r="K377" i="1"/>
  <c r="K300" i="1"/>
  <c r="K399" i="1"/>
  <c r="K1376" i="1"/>
  <c r="K871" i="1"/>
  <c r="K408" i="1"/>
  <c r="K499" i="1"/>
  <c r="K498" i="1"/>
  <c r="K1154" i="1"/>
  <c r="K1126" i="1"/>
  <c r="K1098" i="1"/>
  <c r="K984" i="1"/>
  <c r="K973" i="1"/>
  <c r="K514" i="1"/>
  <c r="K1346" i="1"/>
  <c r="K728" i="1"/>
  <c r="K692" i="1"/>
  <c r="K634" i="1"/>
  <c r="K600" i="1"/>
  <c r="K497" i="1"/>
  <c r="K156" i="1"/>
  <c r="K147" i="1"/>
  <c r="K1062" i="1"/>
  <c r="K899" i="1"/>
  <c r="K804" i="1"/>
  <c r="K1167" i="1"/>
  <c r="K853" i="1"/>
  <c r="K774" i="1"/>
  <c r="K308" i="1"/>
  <c r="K217" i="1"/>
  <c r="K133" i="1"/>
  <c r="K788" i="1"/>
  <c r="K568" i="1"/>
  <c r="K512" i="1"/>
  <c r="K445" i="1"/>
  <c r="K312" i="1"/>
  <c r="K1535" i="1"/>
  <c r="K864" i="1"/>
  <c r="K1215" i="1"/>
  <c r="K1092" i="1"/>
  <c r="K1081" i="1"/>
  <c r="K1056" i="1"/>
  <c r="K20" i="1"/>
  <c r="K1280" i="1"/>
  <c r="K1122" i="1"/>
  <c r="K1091" i="1"/>
  <c r="K706" i="1"/>
  <c r="K624" i="1"/>
  <c r="K623" i="1"/>
  <c r="K595" i="1"/>
  <c r="K384" i="1"/>
  <c r="K331" i="1"/>
  <c r="K236" i="1"/>
  <c r="K1108" i="1"/>
  <c r="K745" i="1"/>
  <c r="K1173" i="1"/>
  <c r="K1117" i="1"/>
  <c r="K1101" i="1"/>
  <c r="K1093" i="1"/>
  <c r="K1076" i="1"/>
  <c r="K1030" i="1"/>
  <c r="K627" i="1"/>
  <c r="K596" i="1"/>
  <c r="K511" i="1"/>
  <c r="K350" i="1"/>
  <c r="K1548" i="1"/>
  <c r="K947" i="1"/>
  <c r="K946" i="1"/>
  <c r="K281" i="1"/>
  <c r="K767" i="1"/>
  <c r="K294" i="1"/>
  <c r="K228" i="1"/>
  <c r="K1234" i="1"/>
  <c r="K875" i="1"/>
  <c r="K372" i="1"/>
  <c r="K486" i="1"/>
  <c r="K1476" i="1"/>
  <c r="K1293" i="1"/>
  <c r="K564" i="1"/>
  <c r="K407" i="1"/>
  <c r="K1490" i="1"/>
  <c r="K1435" i="1"/>
  <c r="K1360" i="1"/>
  <c r="K1143" i="1"/>
  <c r="K1009" i="1"/>
  <c r="K970" i="1"/>
  <c r="K884" i="1"/>
  <c r="K879" i="1"/>
  <c r="K637" i="1"/>
  <c r="K636" i="1"/>
  <c r="K618" i="1"/>
  <c r="K575" i="1"/>
  <c r="K493" i="1"/>
  <c r="K467" i="1"/>
  <c r="K456" i="1"/>
  <c r="K363" i="1"/>
  <c r="K291" i="1"/>
  <c r="K167" i="1"/>
  <c r="K152" i="1"/>
  <c r="K106" i="1"/>
  <c r="K96" i="1"/>
  <c r="K231" i="1"/>
  <c r="K1501" i="1"/>
  <c r="K282" i="1"/>
  <c r="K633" i="1"/>
  <c r="K557" i="1"/>
  <c r="K459" i="1"/>
  <c r="K1279" i="1"/>
  <c r="K1502" i="1"/>
  <c r="K80" i="1"/>
  <c r="K172" i="1"/>
  <c r="K1097" i="1"/>
  <c r="K508" i="1"/>
  <c r="K1205" i="1"/>
  <c r="K1285" i="1"/>
  <c r="K1423" i="1"/>
  <c r="K768" i="1"/>
  <c r="K332" i="1"/>
  <c r="K1079" i="1"/>
  <c r="K409" i="1"/>
  <c r="K950" i="1"/>
  <c r="K386" i="1"/>
  <c r="K992" i="1"/>
  <c r="N15" i="1"/>
  <c r="I15" i="1"/>
  <c r="K333" i="1"/>
  <c r="K1533" i="1"/>
  <c r="N14" i="1"/>
  <c r="I14" i="1"/>
  <c r="K405" i="1"/>
  <c r="K1066" i="1"/>
  <c r="K419" i="1"/>
  <c r="K858" i="1"/>
  <c r="K640" i="1"/>
  <c r="K364" i="1"/>
  <c r="K185" i="1"/>
  <c r="K608" i="1"/>
  <c r="K538" i="1"/>
  <c r="K1556" i="1"/>
  <c r="K1411" i="1"/>
  <c r="K183" i="1"/>
  <c r="K1053" i="1"/>
  <c r="K189" i="1"/>
  <c r="K1128" i="1"/>
  <c r="K1526" i="1"/>
  <c r="K1271" i="1"/>
  <c r="K1191" i="1"/>
  <c r="K89" i="1"/>
  <c r="K670" i="1"/>
  <c r="K893" i="1"/>
  <c r="K327" i="1"/>
  <c r="K1162" i="1"/>
  <c r="K671" i="1"/>
  <c r="K1116" i="1"/>
  <c r="K522" i="1"/>
  <c r="K354" i="1"/>
  <c r="K84" i="1"/>
  <c r="K1354" i="1"/>
  <c r="K1551" i="1"/>
  <c r="K1287" i="1"/>
  <c r="K1358" i="1"/>
  <c r="K1541" i="1"/>
  <c r="K232" i="1"/>
  <c r="K792" i="1"/>
  <c r="K165" i="1"/>
  <c r="K976" i="1"/>
  <c r="K1362" i="1"/>
  <c r="K87" i="1"/>
  <c r="K57" i="1"/>
  <c r="K694" i="1"/>
  <c r="K552" i="1"/>
  <c r="K781" i="1"/>
  <c r="K420" i="1"/>
  <c r="K426" i="1"/>
  <c r="K1085" i="1"/>
  <c r="K519" i="1"/>
  <c r="K876" i="1"/>
  <c r="K1493" i="1"/>
  <c r="K421" i="1"/>
  <c r="K530" i="1"/>
  <c r="K1192" i="1"/>
  <c r="K226" i="1"/>
  <c r="K611" i="1"/>
  <c r="K225" i="1"/>
  <c r="K204" i="1"/>
  <c r="K696" i="1"/>
  <c r="K1516" i="1"/>
  <c r="K1226" i="1"/>
  <c r="K801" i="1"/>
  <c r="K983" i="1"/>
  <c r="K460" i="1"/>
  <c r="K111" i="1"/>
  <c r="K224" i="1"/>
  <c r="K412" i="1"/>
  <c r="K214" i="1"/>
  <c r="K586" i="1"/>
  <c r="K394" i="1"/>
  <c r="K975" i="1"/>
  <c r="K318" i="1"/>
  <c r="K551" i="1"/>
  <c r="K166" i="1"/>
  <c r="K120" i="1"/>
  <c r="K1180" i="1"/>
  <c r="K202" i="1"/>
  <c r="K462" i="1"/>
  <c r="K378" i="1"/>
  <c r="K349" i="1"/>
  <c r="K162" i="1"/>
  <c r="K1071" i="1"/>
  <c r="K901" i="1"/>
  <c r="K495" i="1"/>
  <c r="K1511" i="1"/>
  <c r="K1112" i="1"/>
  <c r="K480" i="1"/>
  <c r="K573" i="1"/>
  <c r="K734" i="1"/>
  <c r="K487" i="1"/>
  <c r="K313" i="1"/>
  <c r="K1025" i="1"/>
  <c r="K900" i="1"/>
  <c r="K906" i="1"/>
  <c r="K398" i="1"/>
  <c r="K638" i="1"/>
  <c r="K455" i="1"/>
  <c r="K848" i="1"/>
  <c r="K695" i="1"/>
  <c r="K896" i="1"/>
  <c r="K400" i="1"/>
  <c r="K488" i="1"/>
  <c r="K391" i="1"/>
  <c r="K392" i="1"/>
  <c r="K1415" i="1"/>
  <c r="K521" i="1"/>
  <c r="K1386" i="1"/>
  <c r="K249" i="1"/>
  <c r="K995" i="1"/>
  <c r="K813" i="1"/>
  <c r="K85" i="1"/>
  <c r="K379" i="1"/>
  <c r="K192" i="1"/>
  <c r="K1498" i="1"/>
  <c r="K877" i="1"/>
  <c r="K1174" i="1"/>
  <c r="K923" i="1"/>
  <c r="K553" i="1"/>
  <c r="K1555" i="1"/>
  <c r="I706" i="1" l="1"/>
  <c r="N947" i="1"/>
  <c r="N1497" i="1"/>
  <c r="N537" i="1"/>
  <c r="N54" i="1"/>
  <c r="N1138" i="1"/>
  <c r="N1196" i="1"/>
  <c r="N1283" i="1"/>
  <c r="N1324" i="1"/>
  <c r="N1444" i="1"/>
  <c r="N1486" i="1"/>
  <c r="N339" i="1"/>
  <c r="N1309" i="1"/>
  <c r="I1304" i="1"/>
  <c r="N719" i="1"/>
  <c r="N757" i="1"/>
  <c r="N843" i="1"/>
  <c r="N1403" i="1"/>
  <c r="N13" i="1"/>
  <c r="N193" i="1"/>
  <c r="N1355" i="1"/>
  <c r="N335" i="1"/>
  <c r="N518" i="1"/>
  <c r="N109" i="1"/>
  <c r="N615" i="1"/>
  <c r="N921" i="1"/>
  <c r="N1304" i="1"/>
  <c r="N1562" i="1"/>
  <c r="N1496" i="1"/>
  <c r="N1494" i="1"/>
  <c r="N1469" i="1"/>
  <c r="N1450" i="1"/>
  <c r="N1447" i="1"/>
  <c r="N1407" i="1"/>
  <c r="N1384" i="1"/>
  <c r="N1379" i="1"/>
  <c r="N1348" i="1"/>
  <c r="N1344" i="1"/>
  <c r="N1343" i="1"/>
  <c r="N1338" i="1"/>
  <c r="N1331" i="1"/>
  <c r="N1313" i="1"/>
  <c r="N1269" i="1"/>
  <c r="N1263" i="1"/>
  <c r="N1219" i="1"/>
  <c r="N1197" i="1"/>
  <c r="N1195" i="1"/>
  <c r="N1189" i="1"/>
  <c r="N1168" i="1"/>
  <c r="N1131" i="1"/>
  <c r="N1121" i="1"/>
  <c r="N1106" i="1"/>
  <c r="N1094" i="1"/>
  <c r="N1061" i="1"/>
  <c r="N1036" i="1"/>
  <c r="N1028" i="1"/>
  <c r="N980" i="1"/>
  <c r="N966" i="1"/>
  <c r="N965" i="1"/>
  <c r="N917" i="1"/>
  <c r="N835" i="1"/>
  <c r="N819" i="1"/>
  <c r="N807" i="1"/>
  <c r="N799" i="1"/>
  <c r="N751" i="1"/>
  <c r="N746" i="1"/>
  <c r="N742" i="1"/>
  <c r="N725" i="1"/>
  <c r="N717" i="1"/>
  <c r="N703" i="1"/>
  <c r="N684" i="1"/>
  <c r="N681" i="1"/>
  <c r="N664" i="1"/>
  <c r="N657" i="1"/>
  <c r="N647" i="1"/>
  <c r="N641" i="1"/>
  <c r="N635" i="1"/>
  <c r="N613" i="1"/>
  <c r="N588" i="1"/>
  <c r="N713" i="1"/>
  <c r="N509" i="1"/>
  <c r="N506" i="1"/>
  <c r="N476" i="1"/>
  <c r="N470" i="1"/>
  <c r="N450" i="1"/>
  <c r="N309" i="1"/>
  <c r="N241" i="1"/>
  <c r="N164" i="1"/>
  <c r="N129" i="1"/>
  <c r="N127" i="1"/>
  <c r="N95" i="1"/>
  <c r="N79" i="1"/>
  <c r="N45" i="1"/>
  <c r="N42" i="1"/>
  <c r="N9" i="1"/>
  <c r="I1562" i="1"/>
  <c r="I1496" i="1"/>
  <c r="I1494" i="1"/>
  <c r="I1486" i="1"/>
  <c r="I1483" i="1"/>
  <c r="I1469" i="1"/>
  <c r="I1450" i="1"/>
  <c r="I1447" i="1"/>
  <c r="I1444" i="1"/>
  <c r="I1407" i="1"/>
  <c r="I1398" i="1"/>
  <c r="I1384" i="1"/>
  <c r="I1355" i="1"/>
  <c r="I1348" i="1"/>
  <c r="I1347" i="1"/>
  <c r="I1345" i="1"/>
  <c r="I1344" i="1"/>
  <c r="I1343" i="1"/>
  <c r="I1338" i="1"/>
  <c r="I1331" i="1"/>
  <c r="I1324" i="1"/>
  <c r="I1313" i="1"/>
  <c r="I1283" i="1"/>
  <c r="I1276" i="1"/>
  <c r="I1269" i="1"/>
  <c r="I1263" i="1"/>
  <c r="N364" i="1"/>
  <c r="N224" i="1"/>
  <c r="N508" i="1"/>
  <c r="N405" i="1"/>
  <c r="I1256" i="1"/>
  <c r="I1219" i="1"/>
  <c r="I1197" i="1"/>
  <c r="I1196" i="1"/>
  <c r="I1189" i="1"/>
  <c r="I1186" i="1"/>
  <c r="I1168" i="1"/>
  <c r="I1131" i="1"/>
  <c r="I1121" i="1"/>
  <c r="I1106" i="1"/>
  <c r="I1061" i="1"/>
  <c r="I1036" i="1"/>
  <c r="I1028" i="1"/>
  <c r="N1561" i="1"/>
  <c r="I980" i="1"/>
  <c r="I966" i="1"/>
  <c r="I965" i="1"/>
  <c r="I956" i="1"/>
  <c r="I921" i="1"/>
  <c r="I917" i="1"/>
  <c r="I909" i="1"/>
  <c r="I888" i="1"/>
  <c r="I844" i="1"/>
  <c r="I843" i="1"/>
  <c r="I835" i="1"/>
  <c r="I819" i="1"/>
  <c r="I807" i="1"/>
  <c r="I757" i="1"/>
  <c r="I799" i="1"/>
  <c r="I751" i="1"/>
  <c r="I746" i="1"/>
  <c r="I742" i="1"/>
  <c r="I725" i="1"/>
  <c r="I719" i="1"/>
  <c r="I717" i="1"/>
  <c r="I703" i="1"/>
  <c r="I684" i="1"/>
  <c r="I681" i="1"/>
  <c r="I664" i="1"/>
  <c r="I657" i="1"/>
  <c r="I647" i="1"/>
  <c r="I644" i="1"/>
  <c r="I643" i="1"/>
  <c r="I641" i="1"/>
  <c r="I635" i="1"/>
  <c r="I615" i="1"/>
  <c r="I613" i="1"/>
  <c r="I591" i="1"/>
  <c r="I588" i="1"/>
  <c r="I713" i="1"/>
  <c r="I537" i="1"/>
  <c r="I509" i="1"/>
  <c r="I506" i="1"/>
  <c r="I476" i="1"/>
  <c r="I470" i="1"/>
  <c r="I452" i="1"/>
  <c r="I450" i="1"/>
  <c r="I309" i="1"/>
  <c r="I295" i="1"/>
  <c r="I241" i="1"/>
  <c r="I235" i="1"/>
  <c r="I194" i="1"/>
  <c r="I193" i="1"/>
  <c r="I164" i="1"/>
  <c r="I145" i="1"/>
  <c r="I140" i="1"/>
  <c r="I136" i="1"/>
  <c r="I129" i="1"/>
  <c r="I125" i="1"/>
  <c r="I98" i="1"/>
  <c r="I95" i="1"/>
  <c r="I79" i="1"/>
  <c r="I75" i="1"/>
  <c r="I54" i="1"/>
  <c r="I45" i="1"/>
  <c r="I42" i="1"/>
  <c r="N1252" i="1"/>
  <c r="N1352" i="1"/>
  <c r="N1454" i="1"/>
  <c r="N1526" i="1"/>
  <c r="N1095" i="1"/>
  <c r="N1277" i="1"/>
  <c r="N272" i="1"/>
  <c r="N1270" i="1"/>
  <c r="N225" i="1"/>
  <c r="I256" i="1"/>
  <c r="N23" i="1"/>
  <c r="N7" i="1"/>
  <c r="N386" i="1"/>
  <c r="N1286" i="1"/>
  <c r="N59" i="1"/>
  <c r="I508" i="1"/>
  <c r="I455" i="1"/>
  <c r="I379" i="1"/>
  <c r="I274" i="1"/>
  <c r="N150" i="1"/>
  <c r="N115" i="1"/>
  <c r="N1217" i="1"/>
  <c r="N1188" i="1"/>
  <c r="N1493" i="1"/>
  <c r="N1097" i="1"/>
  <c r="N1148" i="1"/>
  <c r="N1122" i="1"/>
  <c r="N168" i="1"/>
  <c r="N10" i="1"/>
  <c r="N475" i="1"/>
  <c r="N1530" i="1"/>
  <c r="N1376" i="1"/>
  <c r="N755" i="1"/>
  <c r="I1309" i="1"/>
  <c r="N712" i="1"/>
  <c r="N1487" i="1"/>
  <c r="N236" i="1"/>
  <c r="N256" i="1"/>
  <c r="N1563" i="1"/>
  <c r="N1552" i="1"/>
  <c r="N1524" i="1"/>
  <c r="N1505" i="1"/>
  <c r="N1451" i="1"/>
  <c r="N1443" i="1"/>
  <c r="N1428" i="1"/>
  <c r="N1335" i="1"/>
  <c r="N1325" i="1"/>
  <c r="N1321" i="1"/>
  <c r="N1320" i="1"/>
  <c r="N1303" i="1"/>
  <c r="N1295" i="1"/>
  <c r="N1218" i="1"/>
  <c r="N1078" i="1"/>
  <c r="N1057" i="1"/>
  <c r="N1048" i="1"/>
  <c r="N974" i="1"/>
  <c r="N968" i="1"/>
  <c r="N967" i="1"/>
  <c r="N960" i="1"/>
  <c r="N942" i="1"/>
  <c r="N861" i="1"/>
  <c r="N860" i="1"/>
  <c r="N836" i="1"/>
  <c r="N810" i="1"/>
  <c r="N809" i="1"/>
  <c r="N730" i="1"/>
  <c r="N715" i="1"/>
  <c r="N679" i="1"/>
  <c r="N668" i="1"/>
  <c r="N667" i="1"/>
  <c r="N655" i="1"/>
  <c r="N570" i="1"/>
  <c r="N1211" i="1"/>
  <c r="N536" i="1"/>
  <c r="N505" i="1"/>
  <c r="N362" i="1"/>
  <c r="N360" i="1"/>
  <c r="N353" i="1"/>
  <c r="N351" i="1"/>
  <c r="N334" i="1"/>
  <c r="N324" i="1"/>
  <c r="N912" i="1"/>
  <c r="N260" i="1"/>
  <c r="N242" i="1"/>
  <c r="N240" i="1"/>
  <c r="N239" i="1"/>
  <c r="N145" i="1"/>
  <c r="N135" i="1"/>
  <c r="N94" i="1"/>
  <c r="I1563" i="1"/>
  <c r="I1552" i="1"/>
  <c r="I1524" i="1"/>
  <c r="I1509" i="1"/>
  <c r="I1505" i="1"/>
  <c r="I1487" i="1"/>
  <c r="I1443" i="1"/>
  <c r="I1428" i="1"/>
  <c r="I1352" i="1"/>
  <c r="I1335" i="1"/>
  <c r="I1325" i="1"/>
  <c r="I1321" i="1"/>
  <c r="I1320" i="1"/>
  <c r="I1303" i="1"/>
  <c r="I1295" i="1"/>
  <c r="I1278" i="1"/>
  <c r="I1277" i="1"/>
  <c r="I1252" i="1"/>
  <c r="I1218" i="1"/>
  <c r="I1217" i="1"/>
  <c r="I1188" i="1"/>
  <c r="I1094" i="1"/>
  <c r="I1078" i="1"/>
  <c r="I1057" i="1"/>
  <c r="I1048" i="1"/>
  <c r="I974" i="1"/>
  <c r="I968" i="1"/>
  <c r="I967" i="1"/>
  <c r="I960" i="1"/>
  <c r="I942" i="1"/>
  <c r="I861" i="1"/>
  <c r="I860" i="1"/>
  <c r="I859" i="1"/>
  <c r="I836" i="1"/>
  <c r="I810" i="1"/>
  <c r="I809" i="1"/>
  <c r="I756" i="1"/>
  <c r="I715" i="1"/>
  <c r="I668" i="1"/>
  <c r="I667" i="1"/>
  <c r="I655" i="1"/>
  <c r="I628" i="1"/>
  <c r="I570" i="1"/>
  <c r="I536" i="1"/>
  <c r="I518" i="1"/>
  <c r="I505" i="1"/>
  <c r="I362" i="1"/>
  <c r="I360" i="1"/>
  <c r="I353" i="1"/>
  <c r="I351" i="1"/>
  <c r="I324" i="1"/>
  <c r="I912" i="1"/>
  <c r="I260" i="1"/>
  <c r="I258" i="1"/>
  <c r="I242" i="1"/>
  <c r="I240" i="1"/>
  <c r="I239" i="1"/>
  <c r="I135" i="1"/>
  <c r="I127" i="1"/>
  <c r="I126" i="1"/>
  <c r="I115" i="1"/>
  <c r="I94" i="1"/>
  <c r="I81" i="1"/>
  <c r="I23" i="1"/>
  <c r="I17" i="1"/>
  <c r="I13" i="1"/>
  <c r="I9" i="1"/>
  <c r="I7" i="1"/>
  <c r="I1070" i="1"/>
  <c r="N1453" i="1"/>
  <c r="I1403" i="1"/>
  <c r="N266" i="1"/>
  <c r="N680" i="1"/>
  <c r="N1392" i="1"/>
  <c r="N1558" i="1"/>
  <c r="N332" i="1"/>
  <c r="N1173" i="1"/>
  <c r="I265" i="1"/>
  <c r="I393" i="1"/>
  <c r="I944" i="1"/>
  <c r="N833" i="1"/>
  <c r="I377" i="1"/>
  <c r="N1548" i="1"/>
  <c r="N1160" i="1"/>
  <c r="I1156" i="1"/>
  <c r="I1095" i="1"/>
  <c r="I120" i="1"/>
  <c r="N1092" i="1"/>
  <c r="N877" i="1"/>
  <c r="I785" i="1"/>
  <c r="N1433" i="1"/>
  <c r="N816" i="1"/>
  <c r="N871" i="1"/>
  <c r="N734" i="1"/>
  <c r="N538" i="1"/>
  <c r="N419" i="1"/>
  <c r="N409" i="1"/>
  <c r="N1220" i="1"/>
  <c r="I760" i="1"/>
  <c r="I538" i="1"/>
  <c r="I31" i="1"/>
  <c r="N133" i="1"/>
  <c r="N380" i="1"/>
  <c r="N368" i="1"/>
  <c r="N760" i="1"/>
  <c r="N1449" i="1"/>
  <c r="N633" i="1"/>
  <c r="N521" i="1"/>
  <c r="N1310" i="1"/>
  <c r="I131" i="1"/>
  <c r="I1464" i="1"/>
  <c r="I1415" i="1"/>
  <c r="I1062" i="1"/>
  <c r="I611" i="1"/>
  <c r="I467" i="1"/>
  <c r="I363" i="1"/>
  <c r="I350" i="1"/>
  <c r="I330" i="1"/>
  <c r="I313" i="1"/>
  <c r="I281" i="1"/>
  <c r="N1553" i="1"/>
  <c r="N671" i="1"/>
  <c r="N611" i="1"/>
  <c r="N400" i="1"/>
  <c r="N333" i="1"/>
  <c r="N302" i="1"/>
  <c r="N183" i="1"/>
  <c r="N1442" i="1"/>
  <c r="I1125" i="1"/>
  <c r="N414" i="1"/>
  <c r="N1512" i="1"/>
  <c r="N1560" i="1"/>
  <c r="N1440" i="1"/>
  <c r="N672" i="1"/>
  <c r="N636" i="1"/>
  <c r="N492" i="1"/>
  <c r="N863" i="1"/>
  <c r="N1180" i="1"/>
  <c r="N976" i="1"/>
  <c r="N670" i="1"/>
  <c r="N600" i="1"/>
  <c r="N575" i="1"/>
  <c r="N1473" i="1"/>
  <c r="N838" i="1"/>
  <c r="N88" i="1"/>
  <c r="I459" i="1"/>
  <c r="N1337" i="1"/>
  <c r="N690" i="1"/>
  <c r="N781" i="1"/>
  <c r="N694" i="1"/>
  <c r="N493" i="1"/>
  <c r="N350" i="1"/>
  <c r="N228" i="1"/>
  <c r="N165" i="1"/>
  <c r="N120" i="1"/>
  <c r="N20" i="1"/>
  <c r="I563" i="1"/>
  <c r="N273" i="1"/>
  <c r="I343" i="1"/>
  <c r="I1234" i="1"/>
  <c r="N1151" i="1"/>
  <c r="N377" i="1"/>
  <c r="I1526" i="1"/>
  <c r="I871" i="1"/>
  <c r="I521" i="1"/>
  <c r="I388" i="1"/>
  <c r="I384" i="1"/>
  <c r="I331" i="1"/>
  <c r="I327" i="1"/>
  <c r="I300" i="1"/>
  <c r="N1207" i="1"/>
  <c r="N946" i="1"/>
  <c r="N394" i="1"/>
  <c r="N308" i="1"/>
  <c r="N825" i="1"/>
  <c r="N34" i="1"/>
  <c r="I670" i="1"/>
  <c r="I488" i="1"/>
  <c r="I372" i="1"/>
  <c r="I318" i="1"/>
  <c r="I294" i="1"/>
  <c r="I262" i="1"/>
  <c r="I228" i="1"/>
  <c r="N981" i="1"/>
  <c r="I382" i="1"/>
  <c r="I672" i="1"/>
  <c r="I933" i="1"/>
  <c r="I1318" i="1"/>
  <c r="N927" i="1"/>
  <c r="N1477" i="1"/>
  <c r="N624" i="1"/>
  <c r="N458" i="1"/>
  <c r="N363" i="1"/>
  <c r="N924" i="1"/>
  <c r="N306" i="1"/>
  <c r="N1429" i="1"/>
  <c r="N439" i="1"/>
  <c r="N1179" i="1"/>
  <c r="N1522" i="1"/>
  <c r="I1378" i="1"/>
  <c r="N121" i="1"/>
  <c r="N597" i="1"/>
  <c r="N716" i="1"/>
  <c r="N1170" i="1"/>
  <c r="I1174" i="1"/>
  <c r="I1019" i="1"/>
  <c r="I973" i="1"/>
  <c r="N514" i="1"/>
  <c r="N291" i="1"/>
  <c r="N252" i="1"/>
  <c r="N192" i="1"/>
  <c r="I924" i="1"/>
  <c r="I1497" i="1"/>
  <c r="I1512" i="1"/>
  <c r="N801" i="1"/>
  <c r="I30" i="1"/>
  <c r="I463" i="1"/>
  <c r="N496" i="1"/>
  <c r="N438" i="1"/>
  <c r="N817" i="1"/>
  <c r="N1159" i="1"/>
  <c r="I486" i="1"/>
  <c r="I1555" i="1"/>
  <c r="I801" i="1"/>
  <c r="N1205" i="1"/>
  <c r="N986" i="1"/>
  <c r="N975" i="1"/>
  <c r="N939" i="1"/>
  <c r="N327" i="1"/>
  <c r="I1442" i="1"/>
  <c r="N428" i="1"/>
  <c r="N1272" i="1"/>
  <c r="N81" i="1"/>
  <c r="N830" i="1"/>
  <c r="I480" i="1"/>
  <c r="N1066" i="1"/>
  <c r="N893" i="1"/>
  <c r="N876" i="1"/>
  <c r="N852" i="1"/>
  <c r="N167" i="1"/>
  <c r="N57" i="1"/>
  <c r="I461" i="1"/>
  <c r="N483" i="1"/>
  <c r="N50" i="1"/>
  <c r="N587" i="1"/>
  <c r="N1073" i="1"/>
  <c r="N1539" i="1"/>
  <c r="N277" i="1"/>
  <c r="N336" i="1"/>
  <c r="N1534" i="1"/>
  <c r="N1507" i="1"/>
  <c r="N1448" i="1"/>
  <c r="N1432" i="1"/>
  <c r="N1408" i="1"/>
  <c r="N1378" i="1"/>
  <c r="N1307" i="1"/>
  <c r="N1299" i="1"/>
  <c r="N1298" i="1"/>
  <c r="N1296" i="1"/>
  <c r="N1274" i="1"/>
  <c r="N1239" i="1"/>
  <c r="N1194" i="1"/>
  <c r="N1156" i="1"/>
  <c r="N1130" i="1"/>
  <c r="N1104" i="1"/>
  <c r="N1083" i="1"/>
  <c r="N1069" i="1"/>
  <c r="N1051" i="1"/>
  <c r="N1027" i="1"/>
  <c r="N944" i="1"/>
  <c r="N931" i="1"/>
  <c r="N892" i="1"/>
  <c r="N869" i="1"/>
  <c r="N865" i="1"/>
  <c r="N849" i="1"/>
  <c r="N820" i="1"/>
  <c r="N759" i="1"/>
  <c r="N754" i="1"/>
  <c r="N656" i="1"/>
  <c r="N649" i="1"/>
  <c r="N648" i="1"/>
  <c r="N589" i="1"/>
  <c r="N562" i="1"/>
  <c r="N443" i="1"/>
  <c r="N429" i="1"/>
  <c r="N415" i="1"/>
  <c r="N358" i="1"/>
  <c r="N357" i="1"/>
  <c r="N356" i="1"/>
  <c r="N310" i="1"/>
  <c r="N253" i="1"/>
  <c r="N244" i="1"/>
  <c r="N222" i="1"/>
  <c r="N131" i="1"/>
  <c r="N11" i="1"/>
  <c r="I1558" i="1"/>
  <c r="I1510" i="1"/>
  <c r="I1507" i="1"/>
  <c r="I1495" i="1"/>
  <c r="I1454" i="1"/>
  <c r="I1449" i="1"/>
  <c r="I1448" i="1"/>
  <c r="I1408" i="1"/>
  <c r="I1392" i="1"/>
  <c r="I1341" i="1"/>
  <c r="I1307" i="1"/>
  <c r="I1301" i="1"/>
  <c r="I1299" i="1"/>
  <c r="I1298" i="1"/>
  <c r="I1296" i="1"/>
  <c r="I1249" i="1"/>
  <c r="I1195" i="1"/>
  <c r="I1194" i="1"/>
  <c r="I1179" i="1"/>
  <c r="I1170" i="1"/>
  <c r="I1159" i="1"/>
  <c r="I1138" i="1"/>
  <c r="I1130" i="1"/>
  <c r="I1104" i="1"/>
  <c r="I1069" i="1"/>
  <c r="I1027" i="1"/>
  <c r="I1026" i="1"/>
  <c r="I1023" i="1"/>
  <c r="I882" i="1"/>
  <c r="I869" i="1"/>
  <c r="I830" i="1"/>
  <c r="I817" i="1"/>
  <c r="I783" i="1"/>
  <c r="I759" i="1"/>
  <c r="I754" i="1"/>
  <c r="I736" i="1"/>
  <c r="I722" i="1"/>
  <c r="I716" i="1"/>
  <c r="I680" i="1"/>
  <c r="I597" i="1"/>
  <c r="I562" i="1"/>
  <c r="I559" i="1"/>
  <c r="I1211" i="1"/>
  <c r="I541" i="1"/>
  <c r="I532" i="1"/>
  <c r="I443" i="1"/>
  <c r="I438" i="1"/>
  <c r="I437" i="1"/>
  <c r="I367" i="1"/>
  <c r="I358" i="1"/>
  <c r="I357" i="1"/>
  <c r="I347" i="1"/>
  <c r="I339" i="1"/>
  <c r="I336" i="1"/>
  <c r="I335" i="1"/>
  <c r="I334" i="1"/>
  <c r="I326" i="1"/>
  <c r="I311" i="1"/>
  <c r="I277" i="1"/>
  <c r="I253" i="1"/>
  <c r="I244" i="1"/>
  <c r="I222" i="1"/>
  <c r="I141" i="1"/>
  <c r="I121" i="1"/>
  <c r="I59" i="1"/>
  <c r="I35" i="1"/>
  <c r="I11" i="1"/>
  <c r="N623" i="1"/>
  <c r="I1490" i="1"/>
  <c r="I1358" i="1"/>
  <c r="I1226" i="1"/>
  <c r="I1180" i="1"/>
  <c r="I780" i="1"/>
  <c r="I252" i="1"/>
  <c r="I80" i="1"/>
  <c r="I27" i="1"/>
  <c r="N926" i="1"/>
  <c r="N688" i="1"/>
  <c r="N487" i="1"/>
  <c r="N420" i="1"/>
  <c r="N408" i="1"/>
  <c r="I822" i="1"/>
  <c r="I406" i="1"/>
  <c r="I1451" i="1"/>
  <c r="I958" i="1"/>
  <c r="I1108" i="1"/>
  <c r="I1068" i="1"/>
  <c r="I1065" i="1"/>
  <c r="I1055" i="1"/>
  <c r="I994" i="1"/>
  <c r="I884" i="1"/>
  <c r="I776" i="1"/>
  <c r="I409" i="1"/>
  <c r="N1091" i="1"/>
  <c r="N1025" i="1"/>
  <c r="N654" i="1"/>
  <c r="N552" i="1"/>
  <c r="N500" i="1"/>
  <c r="N488" i="1"/>
  <c r="N432" i="1"/>
  <c r="N421" i="1"/>
  <c r="N412" i="1"/>
  <c r="N226" i="1"/>
  <c r="N217" i="1"/>
  <c r="I88" i="1"/>
  <c r="I61" i="1"/>
  <c r="I410" i="1"/>
  <c r="I658" i="1"/>
  <c r="I732" i="1"/>
  <c r="I847" i="1"/>
  <c r="I863" i="1"/>
  <c r="I971" i="1"/>
  <c r="I1177" i="1"/>
  <c r="I1514" i="1"/>
  <c r="I1536" i="1"/>
  <c r="N971" i="1"/>
  <c r="N1538" i="1"/>
  <c r="N1514" i="1"/>
  <c r="N1135" i="1"/>
  <c r="N626" i="1"/>
  <c r="N365" i="1"/>
  <c r="N157" i="1"/>
  <c r="N80" i="1"/>
  <c r="N27" i="1"/>
  <c r="N90" i="1"/>
  <c r="I152" i="1"/>
  <c r="N1093" i="1"/>
  <c r="N858" i="1"/>
  <c r="I1287" i="1"/>
  <c r="I1279" i="1"/>
  <c r="I1112" i="1"/>
  <c r="I1103" i="1"/>
  <c r="N958" i="1"/>
  <c r="N1411" i="1"/>
  <c r="N1346" i="1"/>
  <c r="N1279" i="1"/>
  <c r="N1234" i="1"/>
  <c r="N1215" i="1"/>
  <c r="N789" i="1"/>
  <c r="N706" i="1"/>
  <c r="N397" i="1"/>
  <c r="N822" i="1"/>
  <c r="I12" i="1"/>
  <c r="N382" i="1"/>
  <c r="N972" i="1"/>
  <c r="N1127" i="1"/>
  <c r="I772" i="1"/>
  <c r="N1536" i="1"/>
  <c r="N658" i="1"/>
  <c r="N152" i="1"/>
  <c r="I87" i="1"/>
  <c r="N1511" i="1"/>
  <c r="I1165" i="1"/>
  <c r="I1548" i="1"/>
  <c r="I654" i="1"/>
  <c r="I530" i="1"/>
  <c r="I416" i="1"/>
  <c r="I89" i="1"/>
  <c r="N1556" i="1"/>
  <c r="N1535" i="1"/>
  <c r="N1108" i="1"/>
  <c r="N1052" i="1"/>
  <c r="N771" i="1"/>
  <c r="N728" i="1"/>
  <c r="N677" i="1"/>
  <c r="N640" i="1"/>
  <c r="N586" i="1"/>
  <c r="N548" i="1"/>
  <c r="N384" i="1"/>
  <c r="N202" i="1"/>
  <c r="N189" i="1"/>
  <c r="N1177" i="1"/>
  <c r="N627" i="1"/>
  <c r="I162" i="1"/>
  <c r="N1071" i="1"/>
  <c r="N788" i="1"/>
  <c r="N638" i="1"/>
  <c r="I478" i="1"/>
  <c r="I816" i="1"/>
  <c r="N12" i="1"/>
  <c r="I540" i="1"/>
  <c r="I1543" i="1"/>
  <c r="I1535" i="1"/>
  <c r="I1530" i="1"/>
  <c r="I1092" i="1"/>
  <c r="I1067" i="1"/>
  <c r="I696" i="1"/>
  <c r="I692" i="1"/>
  <c r="I511" i="1"/>
  <c r="I395" i="1"/>
  <c r="I247" i="1"/>
  <c r="I236" i="1"/>
  <c r="I184" i="1"/>
  <c r="I57" i="1"/>
  <c r="N1441" i="1"/>
  <c r="N1128" i="1"/>
  <c r="N1076" i="1"/>
  <c r="N984" i="1"/>
  <c r="N901" i="1"/>
  <c r="N568" i="1"/>
  <c r="N497" i="1"/>
  <c r="N395" i="1"/>
  <c r="N156" i="1"/>
  <c r="N96" i="1"/>
  <c r="N85" i="1"/>
  <c r="I1395" i="1"/>
  <c r="I123" i="1"/>
  <c r="I268" i="1"/>
  <c r="I1440" i="1"/>
  <c r="I492" i="1"/>
  <c r="I1371" i="1"/>
  <c r="I543" i="1"/>
  <c r="N68" i="1"/>
  <c r="N448" i="1"/>
  <c r="N962" i="1"/>
  <c r="N1125" i="1"/>
  <c r="I414" i="1"/>
  <c r="I699" i="1"/>
  <c r="I1024" i="1"/>
  <c r="I1560" i="1"/>
  <c r="N699" i="1"/>
  <c r="N1521" i="1"/>
  <c r="N741" i="1"/>
  <c r="N312" i="1"/>
  <c r="N263" i="1"/>
  <c r="N195" i="1"/>
  <c r="N147" i="1"/>
  <c r="I1051" i="1"/>
  <c r="N340" i="1"/>
  <c r="I1502" i="1"/>
  <c r="I1457" i="1"/>
  <c r="I1354" i="1"/>
  <c r="I1098" i="1"/>
  <c r="I788" i="1"/>
  <c r="I781" i="1"/>
  <c r="I728" i="1"/>
  <c r="I420" i="1"/>
  <c r="I333" i="1"/>
  <c r="I201" i="1"/>
  <c r="N1533" i="1"/>
  <c r="N1154" i="1"/>
  <c r="N1009" i="1"/>
  <c r="N950" i="1"/>
  <c r="N785" i="1"/>
  <c r="N580" i="1"/>
  <c r="N455" i="1"/>
  <c r="I513" i="1"/>
  <c r="I267" i="1"/>
  <c r="N1082" i="1"/>
  <c r="I1270" i="1"/>
  <c r="I64" i="1"/>
  <c r="I1204" i="1"/>
  <c r="N478" i="1"/>
  <c r="N653" i="1"/>
  <c r="N925" i="1"/>
  <c r="I1047" i="1"/>
  <c r="I1205" i="1"/>
  <c r="I1191" i="1"/>
  <c r="I1162" i="1"/>
  <c r="I1148" i="1"/>
  <c r="I1081" i="1"/>
  <c r="I983" i="1"/>
  <c r="I975" i="1"/>
  <c r="I767" i="1"/>
  <c r="I690" i="1"/>
  <c r="I687" i="1"/>
  <c r="I638" i="1"/>
  <c r="I618" i="1"/>
  <c r="I596" i="1"/>
  <c r="I568" i="1"/>
  <c r="I460" i="1"/>
  <c r="I421" i="1"/>
  <c r="I400" i="1"/>
  <c r="I249" i="1"/>
  <c r="I243" i="1"/>
  <c r="I231" i="1"/>
  <c r="I226" i="1"/>
  <c r="I224" i="1"/>
  <c r="I218" i="1"/>
  <c r="I212" i="1"/>
  <c r="I192" i="1"/>
  <c r="I172" i="1"/>
  <c r="N1457" i="1"/>
  <c r="N1415" i="1"/>
  <c r="N1362" i="1"/>
  <c r="N1143" i="1"/>
  <c r="N1085" i="1"/>
  <c r="N1062" i="1"/>
  <c r="N813" i="1"/>
  <c r="N637" i="1"/>
  <c r="N495" i="1"/>
  <c r="N456" i="1"/>
  <c r="N319" i="1"/>
  <c r="N84" i="1"/>
  <c r="I397" i="1"/>
  <c r="I168" i="1"/>
  <c r="I273" i="1"/>
  <c r="N796" i="1"/>
  <c r="N596" i="1"/>
  <c r="I1476" i="1"/>
  <c r="I1435" i="1"/>
  <c r="I1337" i="1"/>
  <c r="I1160" i="1"/>
  <c r="I1009" i="1"/>
  <c r="I984" i="1"/>
  <c r="I981" i="1"/>
  <c r="I789" i="1"/>
  <c r="I774" i="1"/>
  <c r="I768" i="1"/>
  <c r="I462" i="1"/>
  <c r="I202" i="1"/>
  <c r="I56" i="1"/>
  <c r="N1271" i="1"/>
  <c r="N1231" i="1"/>
  <c r="N1213" i="1"/>
  <c r="N1126" i="1"/>
  <c r="N848" i="1"/>
  <c r="N231" i="1"/>
  <c r="N172" i="1"/>
  <c r="N513" i="1"/>
  <c r="I626" i="1"/>
  <c r="I380" i="1"/>
  <c r="I653" i="1"/>
  <c r="I714" i="1"/>
  <c r="I927" i="1"/>
  <c r="I962" i="1"/>
  <c r="I1127" i="1"/>
  <c r="I1291" i="1"/>
  <c r="I1455" i="1"/>
  <c r="N64" i="1"/>
  <c r="N410" i="1"/>
  <c r="N714" i="1"/>
  <c r="N933" i="1"/>
  <c r="N1165" i="1"/>
  <c r="N1455" i="1"/>
  <c r="N1030" i="1"/>
  <c r="N331" i="1"/>
  <c r="I904" i="1"/>
  <c r="I500" i="1"/>
  <c r="I106" i="1"/>
  <c r="N1502" i="1"/>
  <c r="N618" i="1"/>
  <c r="N1395" i="1"/>
  <c r="I41" i="1"/>
  <c r="N768" i="1"/>
  <c r="N41" i="1"/>
  <c r="I1097" i="1"/>
  <c r="I755" i="1"/>
  <c r="I677" i="1"/>
  <c r="I580" i="1"/>
  <c r="I493" i="1"/>
  <c r="I458" i="1"/>
  <c r="I432" i="1"/>
  <c r="I189" i="1"/>
  <c r="I20" i="1"/>
  <c r="N1174" i="1"/>
  <c r="N1056" i="1"/>
  <c r="N899" i="1"/>
  <c r="N745" i="1"/>
  <c r="N411" i="1"/>
  <c r="N354" i="1"/>
  <c r="N288" i="1"/>
  <c r="N265" i="1"/>
  <c r="N162" i="1"/>
  <c r="N494" i="1"/>
  <c r="I497" i="1"/>
  <c r="I272" i="1"/>
  <c r="I68" i="1"/>
  <c r="I251" i="1"/>
  <c r="I373" i="1"/>
  <c r="I266" i="1"/>
  <c r="I642" i="1"/>
  <c r="I937" i="1"/>
  <c r="I1521" i="1"/>
  <c r="N61" i="1"/>
  <c r="N851" i="1"/>
  <c r="N1550" i="1"/>
  <c r="N1079" i="1"/>
  <c r="N608" i="1"/>
  <c r="N275" i="1"/>
  <c r="N166" i="1"/>
  <c r="N123" i="1"/>
  <c r="I122" i="1"/>
  <c r="I356" i="1"/>
  <c r="I496" i="1"/>
  <c r="I589" i="1"/>
  <c r="I737" i="1"/>
  <c r="I894" i="1"/>
  <c r="I1239" i="1"/>
  <c r="I1465" i="1"/>
  <c r="N18" i="1"/>
  <c r="N1349" i="1"/>
  <c r="I1238" i="1"/>
  <c r="N642" i="1"/>
  <c r="N267" i="1"/>
  <c r="I1101" i="1"/>
  <c r="I998" i="1"/>
  <c r="I96" i="1"/>
  <c r="N1098" i="1"/>
  <c r="I448" i="1"/>
  <c r="N1192" i="1"/>
  <c r="I1441" i="1"/>
  <c r="I1421" i="1"/>
  <c r="I1376" i="1"/>
  <c r="I1360" i="1"/>
  <c r="I1122" i="1"/>
  <c r="I1096" i="1"/>
  <c r="I1066" i="1"/>
  <c r="I946" i="1"/>
  <c r="I899" i="1"/>
  <c r="I876" i="1"/>
  <c r="I853" i="1"/>
  <c r="I825" i="1"/>
  <c r="I634" i="1"/>
  <c r="I623" i="1"/>
  <c r="I600" i="1"/>
  <c r="I595" i="1"/>
  <c r="I412" i="1"/>
  <c r="I399" i="1"/>
  <c r="I386" i="1"/>
  <c r="I166" i="1"/>
  <c r="I156" i="1"/>
  <c r="I133" i="1"/>
  <c r="I111" i="1"/>
  <c r="N1490" i="1"/>
  <c r="N1404" i="1"/>
  <c r="N979" i="1"/>
  <c r="N900" i="1"/>
  <c r="N884" i="1"/>
  <c r="N875" i="1"/>
  <c r="N792" i="1"/>
  <c r="N695" i="1"/>
  <c r="N687" i="1"/>
  <c r="N512" i="1"/>
  <c r="N480" i="1"/>
  <c r="N407" i="1"/>
  <c r="N281" i="1"/>
  <c r="N214" i="1"/>
  <c r="N89" i="1"/>
  <c r="I823" i="1"/>
  <c r="I1029" i="1"/>
  <c r="N543" i="1"/>
  <c r="N1013" i="1"/>
  <c r="N1157" i="1"/>
  <c r="I741" i="1"/>
  <c r="I851" i="1"/>
  <c r="I1007" i="1"/>
  <c r="I1310" i="1"/>
  <c r="I1432" i="1"/>
  <c r="N1501" i="1"/>
  <c r="N1293" i="1"/>
  <c r="N1007" i="1"/>
  <c r="N847" i="1"/>
  <c r="N406" i="1"/>
  <c r="N393" i="1"/>
  <c r="N379" i="1"/>
  <c r="I18" i="1"/>
  <c r="I679" i="1"/>
  <c r="I864" i="1"/>
  <c r="I1158" i="1"/>
  <c r="I1349" i="1"/>
  <c r="I1539" i="1"/>
  <c r="N122" i="1"/>
  <c r="N427" i="1"/>
  <c r="N621" i="1"/>
  <c r="N678" i="1"/>
  <c r="N722" i="1"/>
  <c r="N1023" i="1"/>
  <c r="N1249" i="1"/>
  <c r="N1510" i="1"/>
  <c r="N1162" i="1"/>
  <c r="N1070" i="1"/>
  <c r="I1541" i="1"/>
  <c r="I1362" i="1"/>
  <c r="I1346" i="1"/>
  <c r="I1285" i="1"/>
  <c r="I1150" i="1"/>
  <c r="I1143" i="1"/>
  <c r="I1117" i="1"/>
  <c r="I1058" i="1"/>
  <c r="I1030" i="1"/>
  <c r="I939" i="1"/>
  <c r="I905" i="1"/>
  <c r="I901" i="1"/>
  <c r="I893" i="1"/>
  <c r="I879" i="1"/>
  <c r="I858" i="1"/>
  <c r="I833" i="1"/>
  <c r="I800" i="1"/>
  <c r="I671" i="1"/>
  <c r="I608" i="1"/>
  <c r="I553" i="1"/>
  <c r="I512" i="1"/>
  <c r="I378" i="1"/>
  <c r="I214" i="1"/>
  <c r="I204" i="1"/>
  <c r="I165" i="1"/>
  <c r="I147" i="1"/>
  <c r="I46" i="1"/>
  <c r="N1053" i="1"/>
  <c r="N823" i="1"/>
  <c r="N498" i="1"/>
  <c r="N426" i="1"/>
  <c r="N398" i="1"/>
  <c r="N184" i="1"/>
  <c r="I1412" i="1"/>
  <c r="I1082" i="1"/>
  <c r="I1473" i="1"/>
  <c r="I306" i="1"/>
  <c r="I494" i="1"/>
  <c r="I1420" i="1"/>
  <c r="I587" i="1"/>
  <c r="I925" i="1"/>
  <c r="I1232" i="1"/>
  <c r="I263" i="1"/>
  <c r="I428" i="1"/>
  <c r="I852" i="1"/>
  <c r="I1013" i="1"/>
  <c r="I1135" i="1"/>
  <c r="I1429" i="1"/>
  <c r="N732" i="1"/>
  <c r="N1516" i="1"/>
  <c r="N1117" i="1"/>
  <c r="I150" i="1"/>
  <c r="I340" i="1"/>
  <c r="I429" i="1"/>
  <c r="I439" i="1"/>
  <c r="I678" i="1"/>
  <c r="I721" i="1"/>
  <c r="I744" i="1"/>
  <c r="I849" i="1"/>
  <c r="I865" i="1"/>
  <c r="I1083" i="1"/>
  <c r="I1248" i="1"/>
  <c r="I1286" i="1"/>
  <c r="I1417" i="1"/>
  <c r="I1534" i="1"/>
  <c r="I1561" i="1"/>
  <c r="N30" i="1"/>
  <c r="N343" i="1"/>
  <c r="N463" i="1"/>
  <c r="N1158" i="1"/>
  <c r="N1417" i="1"/>
  <c r="N1238" i="1"/>
  <c r="I105" i="1"/>
  <c r="I1551" i="1"/>
  <c r="I1533" i="1"/>
  <c r="I1498" i="1"/>
  <c r="I1404" i="1"/>
  <c r="I1386" i="1"/>
  <c r="I1215" i="1"/>
  <c r="I1173" i="1"/>
  <c r="I1126" i="1"/>
  <c r="I1079" i="1"/>
  <c r="I932" i="1"/>
  <c r="I923" i="1"/>
  <c r="I804" i="1"/>
  <c r="I694" i="1"/>
  <c r="I689" i="1"/>
  <c r="I652" i="1"/>
  <c r="I624" i="1"/>
  <c r="I605" i="1"/>
  <c r="I586" i="1"/>
  <c r="I579" i="1"/>
  <c r="I575" i="1"/>
  <c r="I550" i="1"/>
  <c r="I515" i="1"/>
  <c r="I487" i="1"/>
  <c r="I481" i="1"/>
  <c r="I426" i="1"/>
  <c r="I411" i="1"/>
  <c r="I405" i="1"/>
  <c r="I392" i="1"/>
  <c r="I308" i="1"/>
  <c r="I288" i="1"/>
  <c r="I276" i="1"/>
  <c r="I250" i="1"/>
  <c r="I85" i="1"/>
  <c r="N1435" i="1"/>
  <c r="N1116" i="1"/>
  <c r="N1055" i="1"/>
  <c r="N932" i="1"/>
  <c r="N774" i="1"/>
  <c r="N511" i="1"/>
  <c r="N499" i="1"/>
  <c r="N399" i="1"/>
  <c r="N388" i="1"/>
  <c r="N378" i="1"/>
  <c r="N372" i="1"/>
  <c r="N276" i="1"/>
  <c r="N204" i="1"/>
  <c r="N185" i="1"/>
  <c r="I190" i="1"/>
  <c r="I483" i="1"/>
  <c r="I979" i="1"/>
  <c r="I1538" i="1"/>
  <c r="I408" i="1"/>
  <c r="I1220" i="1"/>
  <c r="I1052" i="1"/>
  <c r="N1412" i="1"/>
  <c r="I365" i="1"/>
  <c r="I1151" i="1"/>
  <c r="I195" i="1"/>
  <c r="N1291" i="1"/>
  <c r="I90" i="1"/>
  <c r="I415" i="1"/>
  <c r="I707" i="1"/>
  <c r="N1420" i="1"/>
  <c r="N1371" i="1"/>
  <c r="N1287" i="1"/>
  <c r="N1204" i="1"/>
  <c r="N1166" i="1"/>
  <c r="N906" i="1"/>
  <c r="N462" i="1"/>
  <c r="N391" i="1"/>
  <c r="N46" i="1"/>
  <c r="I427" i="1"/>
  <c r="I621" i="1"/>
  <c r="I656" i="1"/>
  <c r="I820" i="1"/>
  <c r="I931" i="1"/>
  <c r="I1274" i="1"/>
  <c r="I1477" i="1"/>
  <c r="I1522" i="1"/>
  <c r="N31" i="1"/>
  <c r="N367" i="1"/>
  <c r="N541" i="1"/>
  <c r="N894" i="1"/>
  <c r="N1465" i="1"/>
  <c r="I310" i="1"/>
  <c r="N294" i="1"/>
  <c r="N1241" i="1"/>
  <c r="I1556" i="1"/>
  <c r="I792" i="1"/>
  <c r="I456" i="1"/>
  <c r="I364" i="1"/>
  <c r="N1191" i="1"/>
  <c r="N467" i="1"/>
  <c r="N243" i="1"/>
  <c r="I1272" i="1"/>
  <c r="I1516" i="1"/>
  <c r="I1501" i="1"/>
  <c r="I1460" i="1"/>
  <c r="I1411" i="1"/>
  <c r="I1293" i="1"/>
  <c r="I1280" i="1"/>
  <c r="I1167" i="1"/>
  <c r="I1128" i="1"/>
  <c r="I1093" i="1"/>
  <c r="I1077" i="1"/>
  <c r="I1056" i="1"/>
  <c r="I995" i="1"/>
  <c r="I992" i="1"/>
  <c r="I976" i="1"/>
  <c r="I926" i="1"/>
  <c r="I896" i="1"/>
  <c r="I877" i="1"/>
  <c r="I813" i="1"/>
  <c r="I745" i="1"/>
  <c r="I640" i="1"/>
  <c r="I636" i="1"/>
  <c r="I551" i="1"/>
  <c r="I498" i="1"/>
  <c r="I445" i="1"/>
  <c r="I398" i="1"/>
  <c r="I312" i="1"/>
  <c r="I302" i="1"/>
  <c r="I280" i="1"/>
  <c r="I232" i="1"/>
  <c r="I225" i="1"/>
  <c r="N1124" i="1"/>
  <c r="N970" i="1"/>
  <c r="N895" i="1"/>
  <c r="N804" i="1"/>
  <c r="N767" i="1"/>
  <c r="N595" i="1"/>
  <c r="N515" i="1"/>
  <c r="N111" i="1"/>
  <c r="N461" i="1"/>
  <c r="I881" i="1"/>
  <c r="I157" i="1"/>
  <c r="I972" i="1"/>
  <c r="I648" i="1"/>
  <c r="N563" i="1"/>
  <c r="N707" i="1"/>
  <c r="I564" i="1"/>
  <c r="I522" i="1"/>
  <c r="I354" i="1"/>
  <c r="N923" i="1"/>
  <c r="N392" i="1"/>
  <c r="N218" i="1"/>
  <c r="I34" i="1"/>
  <c r="I1553" i="1"/>
  <c r="I1453" i="1"/>
  <c r="I1154" i="1"/>
  <c r="I1116" i="1"/>
  <c r="I1091" i="1"/>
  <c r="I1071" i="1"/>
  <c r="I986" i="1"/>
  <c r="I970" i="1"/>
  <c r="I950" i="1"/>
  <c r="I906" i="1"/>
  <c r="I900" i="1"/>
  <c r="I895" i="1"/>
  <c r="I802" i="1"/>
  <c r="I771" i="1"/>
  <c r="I734" i="1"/>
  <c r="I695" i="1"/>
  <c r="I637" i="1"/>
  <c r="I633" i="1"/>
  <c r="I627" i="1"/>
  <c r="I607" i="1"/>
  <c r="I594" i="1"/>
  <c r="I574" i="1"/>
  <c r="I548" i="1"/>
  <c r="I527" i="1"/>
  <c r="I499" i="1"/>
  <c r="I407" i="1"/>
  <c r="I394" i="1"/>
  <c r="I366" i="1"/>
  <c r="I349" i="1"/>
  <c r="I338" i="1"/>
  <c r="I332" i="1"/>
  <c r="I275" i="1"/>
  <c r="I223" i="1"/>
  <c r="I217" i="1"/>
  <c r="I199" i="1"/>
  <c r="I185" i="1"/>
  <c r="N1421" i="1"/>
  <c r="N1551" i="1"/>
  <c r="N1423" i="1"/>
  <c r="N1280" i="1"/>
  <c r="N1096" i="1"/>
  <c r="N1081" i="1"/>
  <c r="N992" i="1"/>
  <c r="N983" i="1"/>
  <c r="N973" i="1"/>
  <c r="N904" i="1"/>
  <c r="N879" i="1"/>
  <c r="N864" i="1"/>
  <c r="N692" i="1"/>
  <c r="N486" i="1"/>
  <c r="I10" i="1"/>
  <c r="I1433" i="1"/>
  <c r="N1476" i="1"/>
  <c r="N106" i="1"/>
  <c r="N634" i="1"/>
  <c r="I1076" i="1"/>
  <c r="I282" i="1"/>
  <c r="N1226" i="1"/>
  <c r="N1167" i="1"/>
  <c r="N802" i="1"/>
  <c r="N527" i="1"/>
  <c r="I1207" i="1"/>
  <c r="I1241" i="1"/>
  <c r="I1511" i="1"/>
  <c r="I1493" i="1"/>
  <c r="I1423" i="1"/>
  <c r="I1271" i="1"/>
  <c r="I1213" i="1"/>
  <c r="I1192" i="1"/>
  <c r="I1124" i="1"/>
  <c r="I1085" i="1"/>
  <c r="I1053" i="1"/>
  <c r="I1025" i="1"/>
  <c r="I947" i="1"/>
  <c r="I875" i="1"/>
  <c r="I848" i="1"/>
  <c r="I688" i="1"/>
  <c r="I573" i="1"/>
  <c r="I552" i="1"/>
  <c r="I495" i="1"/>
  <c r="I419" i="1"/>
  <c r="I391" i="1"/>
  <c r="I319" i="1"/>
  <c r="I291" i="1"/>
  <c r="I183" i="1"/>
  <c r="I167" i="1"/>
  <c r="I84" i="1"/>
  <c r="N1047" i="1"/>
  <c r="N1543" i="1"/>
  <c r="N1386" i="1"/>
  <c r="N1360" i="1"/>
  <c r="N1285" i="1"/>
  <c r="N1150" i="1"/>
  <c r="N905" i="1"/>
  <c r="N853" i="1"/>
  <c r="N573" i="1"/>
  <c r="N564" i="1"/>
  <c r="N519" i="1"/>
  <c r="N460" i="1"/>
  <c r="N445" i="1"/>
  <c r="N416" i="1"/>
  <c r="N349" i="1"/>
  <c r="N300" i="1"/>
  <c r="N232" i="1"/>
  <c r="N87" i="1"/>
  <c r="N190" i="1"/>
  <c r="I50" i="1"/>
  <c r="I514" i="1"/>
  <c r="I796" i="1"/>
  <c r="I838" i="1"/>
  <c r="I1157" i="1"/>
  <c r="I1166" i="1"/>
  <c r="I155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S. Norris</author>
    <author>Damian</author>
    <author>Office</author>
    <author>Nearmap</author>
    <author>Ian Warwick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Early figures based on those collated by R. Burnell</t>
        </r>
      </text>
    </comment>
    <comment ref="M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Includes figures from 72-73 Season through to 07-08 season.(07/08 taken over by Damian Hill).Based on figures compiled by R. Burnell and from available score book records.</t>
        </r>
      </text>
    </comment>
    <comment ref="H40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07/08 - 1161 runs</t>
        </r>
      </text>
    </comment>
    <comment ref="H8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04/05 - 2057 runs</t>
        </r>
      </text>
    </comment>
    <comment ref="D12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D. Hill:
</t>
        </r>
        <r>
          <rPr>
            <sz val="8"/>
            <color indexed="81"/>
            <rFont val="Tahoma"/>
            <family val="2"/>
          </rPr>
          <t xml:space="preserve">Milestone
15/16 - 101 catches
</t>
        </r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06/07 - 53 catches</t>
        </r>
      </text>
    </comment>
    <comment ref="H122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3193 runs - 2015/16
2375 runs - 2010/2011
07/08 1488 runs
</t>
        </r>
      </text>
    </comment>
    <comment ref="L122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407 wickets - 2017/18
316 wickets - 2014/15
208 wickets - 2011/12
134 wickets - 2007/08</t>
        </r>
      </text>
    </comment>
    <comment ref="D123" authorId="1" shapeId="0" xr:uid="{00000000-0006-0000-0000-000008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51 catch's - 08/09</t>
        </r>
      </text>
    </comment>
    <comment ref="H123" authorId="1" shapeId="0" xr:uid="{00000000-0006-0000-0000-000009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07/08 - 1674 runs
</t>
        </r>
      </text>
    </comment>
    <comment ref="L123" authorId="1" shapeId="0" xr:uid="{00000000-0006-0000-0000-00000A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07/08 - 137 wickets
</t>
        </r>
      </text>
    </comment>
    <comment ref="B147" authorId="1" shapeId="0" xr:uid="{00000000-0006-0000-0000-00000B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5 year badge - 08/09
</t>
        </r>
      </text>
    </comment>
    <comment ref="B184" authorId="2" shapeId="0" xr:uid="{00000000-0006-0000-0000-00000C000000}">
      <text>
        <r>
          <rPr>
            <b/>
            <sz val="9"/>
            <color indexed="81"/>
            <rFont val="Tahoma"/>
            <family val="2"/>
          </rPr>
          <t>Damian:</t>
        </r>
        <r>
          <rPr>
            <sz val="9"/>
            <color indexed="81"/>
            <rFont val="Tahoma"/>
            <family val="2"/>
          </rPr>
          <t xml:space="preserve">
5 year badge</t>
        </r>
      </text>
    </comment>
    <comment ref="B190" authorId="1" shapeId="0" xr:uid="{00000000-0006-0000-0000-00000D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5 yesr badge - 08/09
</t>
        </r>
      </text>
    </comment>
    <comment ref="H190" authorId="2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1006 runs - 2011/12</t>
        </r>
      </text>
    </comment>
    <comment ref="L190" authorId="1" shapeId="0" xr:uid="{00000000-0006-0000-0000-00000F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121 wickets - 2009/2010</t>
        </r>
      </text>
    </comment>
    <comment ref="D195" authorId="2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55 ctchs - 12/13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95" authorId="1" shapeId="0" xr:uid="{00000000-0006-0000-0000-000011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>Milestone.
2149 runs - 12/13</t>
        </r>
        <r>
          <rPr>
            <sz val="8"/>
            <color indexed="81"/>
            <rFont val="Tahoma"/>
            <family val="2"/>
          </rPr>
          <t xml:space="preserve">
1614 runs - 09/10
</t>
        </r>
      </text>
    </comment>
    <comment ref="L195" authorId="2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102 wkts - 2011/12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44" authorId="2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1064 runs - 2019/20
</t>
        </r>
      </text>
    </comment>
    <comment ref="L244" authorId="2" shapeId="0" xr:uid="{00000000-0006-0000-0000-000014000000}">
      <text>
        <r>
          <rPr>
            <b/>
            <sz val="9"/>
            <color indexed="81"/>
            <rFont val="Tahoma"/>
            <family val="2"/>
          </rPr>
          <t>Damian: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Milestone.
110 wickets - 2019/20</t>
        </r>
      </text>
    </comment>
    <comment ref="H266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1059 runs - 08/09</t>
        </r>
      </text>
    </comment>
    <comment ref="L266" authorId="2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101 wickets - 2014/15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73" authorId="2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1192 runs - 2010/2011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1" authorId="1" shapeId="0" xr:uid="{00000000-0006-0000-0000-000018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07/08 - 1987 runs
</t>
        </r>
      </text>
    </comment>
    <comment ref="L306" authorId="1" shapeId="0" xr:uid="{00000000-0006-0000-0000-000019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101 wickets - 08/09</t>
        </r>
      </text>
    </comment>
    <comment ref="D310" authorId="2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2019/20 - 50 catches
</t>
        </r>
      </text>
    </comment>
    <comment ref="H310" authorId="2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4345 runs - 2017/18
5055 runs - 2021/22</t>
        </r>
      </text>
    </comment>
    <comment ref="L310" authorId="2" shapeId="0" xr:uid="{00000000-0006-0000-0000-00001C000000}">
      <text>
        <r>
          <rPr>
            <b/>
            <sz val="9"/>
            <color indexed="81"/>
            <rFont val="Tahoma"/>
            <family val="2"/>
          </rPr>
          <t>Damian:</t>
        </r>
        <r>
          <rPr>
            <sz val="9"/>
            <color indexed="81"/>
            <rFont val="Tahoma"/>
            <family val="2"/>
          </rPr>
          <t xml:space="preserve">
Milestone.
104 wickets - 2019/20</t>
        </r>
      </text>
    </comment>
    <comment ref="H312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06/07 - 1232 runs</t>
        </r>
      </text>
    </comment>
    <comment ref="L312" authorId="1" shapeId="0" xr:uid="{00000000-0006-0000-0000-00001E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110 wickets - 08/09</t>
        </r>
      </text>
    </comment>
    <comment ref="L331" authorId="1" shapeId="0" xr:uid="{00000000-0006-0000-0000-00001F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07/08 - 100 wickets
</t>
        </r>
      </text>
    </comment>
    <comment ref="D334" authorId="1" shapeId="0" xr:uid="{00000000-0006-0000-0000-000020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105 catch's - 2017/18
67 catch's - 2008/09
</t>
        </r>
      </text>
    </comment>
    <comment ref="H334" authorId="2" shapeId="0" xr:uid="{00000000-0006-0000-0000-000021000000}">
      <text>
        <r>
          <rPr>
            <b/>
            <sz val="9"/>
            <color indexed="81"/>
            <rFont val="Tahoma"/>
            <family val="2"/>
          </rPr>
          <t>Damian:</t>
        </r>
        <r>
          <rPr>
            <sz val="9"/>
            <color indexed="81"/>
            <rFont val="Tahoma"/>
            <family val="2"/>
          </rPr>
          <t xml:space="preserve">
Milestone:
5058 runs 2017/18
4092 runs - 2015/16
</t>
        </r>
        <r>
          <rPr>
            <b/>
            <sz val="9"/>
            <color indexed="81"/>
            <rFont val="Tahoma"/>
            <family val="2"/>
          </rPr>
          <t xml:space="preserve">Carol:
</t>
        </r>
        <r>
          <rPr>
            <sz val="9"/>
            <color indexed="81"/>
            <rFont val="Tahoma"/>
            <family val="2"/>
          </rPr>
          <t xml:space="preserve">milestone.
3245 runs - 2013/14
</t>
        </r>
      </text>
    </comment>
    <comment ref="L334" authorId="1" shapeId="0" xr:uid="{00000000-0006-0000-0000-000022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248 wickets - 2008/09</t>
        </r>
      </text>
    </comment>
    <comment ref="H338" authorId="1" shapeId="0" xr:uid="{00000000-0006-0000-0000-000023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1459 runs - 2009/2010</t>
        </r>
      </text>
    </comment>
    <comment ref="D343" authorId="2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56 catches -2018/19
</t>
        </r>
      </text>
    </comment>
    <comment ref="D356" authorId="2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2019/20 - 51 catches
</t>
        </r>
      </text>
    </comment>
    <comment ref="H356" authorId="2" shapeId="0" xr:uid="{00000000-0006-0000-0000-000026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3030 runs -2020/21
2175 runs -2018/19
1540 runs -2016/17 
</t>
        </r>
      </text>
    </comment>
    <comment ref="L356" authorId="2" shapeId="0" xr:uid="{00000000-0006-0000-0000-000027000000}">
      <text>
        <r>
          <rPr>
            <b/>
            <sz val="9"/>
            <color indexed="81"/>
            <rFont val="Tahoma"/>
            <family val="2"/>
          </rPr>
          <t>Damian:</t>
        </r>
        <r>
          <rPr>
            <sz val="9"/>
            <color indexed="81"/>
            <rFont val="Tahoma"/>
            <family val="2"/>
          </rPr>
          <t xml:space="preserve">
Milestone.
122 wickets - 2019/20</t>
        </r>
      </text>
    </comment>
    <comment ref="D363" authorId="1" shapeId="0" xr:uid="{00000000-0006-0000-0000-000028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07/08 - 66 catches</t>
        </r>
      </text>
    </comment>
    <comment ref="H363" authorId="0" shapeId="0" xr:uid="{00000000-0006-0000-0000-000029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04/05 - 3411 runs</t>
        </r>
      </text>
    </comment>
    <comment ref="L363" authorId="1" shapeId="0" xr:uid="{00000000-0006-0000-0000-00002A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07/08 - 190 wickets
</t>
        </r>
      </text>
    </comment>
    <comment ref="H364" authorId="0" shapeId="0" xr:uid="{00000000-0006-0000-0000-00002B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04/05 - 3059 runs</t>
        </r>
      </text>
    </comment>
    <comment ref="D367" authorId="3" shapeId="0" xr:uid="{99F0C018-8FDC-45A6-8EC5-27D692C6F827}">
      <text>
        <r>
          <rPr>
            <b/>
            <sz val="9"/>
            <color indexed="81"/>
            <rFont val="Tahoma"/>
            <family val="2"/>
          </rPr>
          <t xml:space="preserve">Ali:
</t>
        </r>
        <r>
          <rPr>
            <sz val="9"/>
            <color indexed="81"/>
            <rFont val="Tahoma"/>
            <family val="2"/>
          </rPr>
          <t xml:space="preserve">Milestone
21/22 - 53 catches
</t>
        </r>
      </text>
    </comment>
    <comment ref="H367" authorId="2" shapeId="0" xr:uid="{00000000-0006-0000-0000-00002C000000}">
      <text>
        <r>
          <rPr>
            <b/>
            <sz val="9"/>
            <color indexed="81"/>
            <rFont val="Tahoma"/>
            <family val="2"/>
          </rPr>
          <t>Damian:</t>
        </r>
        <r>
          <rPr>
            <sz val="9"/>
            <color indexed="81"/>
            <rFont val="Tahoma"/>
            <family val="2"/>
          </rPr>
          <t xml:space="preserve">
milestone:
1024 runs - 2016/17
</t>
        </r>
      </text>
    </comment>
    <comment ref="H380" authorId="2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Carol:
</t>
        </r>
        <r>
          <rPr>
            <sz val="9"/>
            <color indexed="81"/>
            <rFont val="Tahoma"/>
            <family val="2"/>
          </rPr>
          <t>milestone.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2013/14 - 1036 runs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84" authorId="1" shapeId="0" xr:uid="{00000000-0006-0000-0000-00002E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1003 runs</t>
        </r>
      </text>
    </comment>
    <comment ref="H386" authorId="0" shapeId="0" xr:uid="{00000000-0006-0000-0000-00002F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04/05 - 2225 runs</t>
        </r>
      </text>
    </comment>
    <comment ref="H388" authorId="2" shapeId="0" xr:uid="{00000000-0006-0000-0000-000030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388" authorId="2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106 wkts. - 2010/2011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3" authorId="1" shapeId="0" xr:uid="{00000000-0006-0000-0000-000032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5 year badge - 09/10
</t>
        </r>
      </text>
    </comment>
    <comment ref="D408" authorId="0" shapeId="0" xr:uid="{00000000-0006-0000-0000-000033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06/07 - 52 catches</t>
        </r>
      </text>
    </comment>
    <comment ref="H408" authorId="0" shapeId="0" xr:uid="{00000000-0006-0000-0000-000034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>3167 runs - 2010/2011</t>
        </r>
        <r>
          <rPr>
            <b/>
            <sz val="8"/>
            <color indexed="81"/>
            <rFont val="Tahoma"/>
            <family val="2"/>
          </rPr>
          <t xml:space="preserve">
S. Norris:</t>
        </r>
        <r>
          <rPr>
            <sz val="8"/>
            <color indexed="81"/>
            <rFont val="Tahoma"/>
            <family val="2"/>
          </rPr>
          <t xml:space="preserve">
Milestone
05/06 - 2061 runs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09" authorId="0" shapeId="0" xr:uid="{00000000-0006-0000-0000-000035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04/05 - 5013 runs</t>
        </r>
      </text>
    </comment>
    <comment ref="L410" authorId="1" shapeId="0" xr:uid="{00000000-0006-0000-0000-000036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104 wickets - 08/09</t>
        </r>
      </text>
    </comment>
    <comment ref="D414" authorId="0" shapeId="0" xr:uid="{00000000-0006-0000-0000-000037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 xml:space="preserve">Milestone.
2019/20 - 113 catches
</t>
        </r>
        <r>
          <rPr>
            <b/>
            <sz val="8"/>
            <color indexed="81"/>
            <rFont val="Tahoma"/>
            <family val="2"/>
          </rPr>
          <t xml:space="preserve">S. Norris:
</t>
        </r>
        <r>
          <rPr>
            <sz val="8"/>
            <color indexed="81"/>
            <rFont val="Tahoma"/>
            <family val="2"/>
          </rPr>
          <t>Milestone
06/07 - 50 catches</t>
        </r>
      </text>
    </comment>
    <comment ref="H414" authorId="0" shapeId="0" xr:uid="{00000000-0006-0000-0000-000038000000}">
      <text>
        <r>
          <rPr>
            <b/>
            <sz val="8"/>
            <color indexed="81"/>
            <rFont val="Tahoma"/>
            <family val="2"/>
          </rPr>
          <t xml:space="preserve">Carol:
</t>
        </r>
        <r>
          <rPr>
            <sz val="8"/>
            <color indexed="81"/>
            <rFont val="Tahoma"/>
            <family val="2"/>
          </rPr>
          <t xml:space="preserve">milestone.
2133 runs - 2013/14
</t>
        </r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Milestone.
05/06 - 1182 runs</t>
        </r>
      </text>
    </comment>
    <comment ref="D415" authorId="2" shapeId="0" xr:uid="{00000000-0006-0000-0000-000039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63 catches - 2014/15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15" authorId="2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202 wickets -2018/19
101 wickets -2012/13
</t>
        </r>
      </text>
    </comment>
    <comment ref="D429" authorId="2" shapeId="0" xr:uid="{00000000-0006-0000-0000-00003B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52 catches - 2010/2011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29" authorId="1" shapeId="0" xr:uid="{00000000-0006-0000-0000-00003C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3307 runs - 2017/18
2258 runs - 2014/15
1332 runs - 2009/2010</t>
        </r>
      </text>
    </comment>
    <comment ref="L429" authorId="0" shapeId="0" xr:uid="{00000000-0006-0000-0000-00003D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>milestone.
314 wickets -2018/19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219 wickets -2009/10</t>
        </r>
        <r>
          <rPr>
            <b/>
            <sz val="8"/>
            <color indexed="81"/>
            <rFont val="Tahoma"/>
            <family val="2"/>
          </rPr>
          <t xml:space="preserve">
S. Norris:</t>
        </r>
        <r>
          <rPr>
            <sz val="8"/>
            <color indexed="81"/>
            <rFont val="Tahoma"/>
            <family val="2"/>
          </rPr>
          <t xml:space="preserve">
115 wickets -2006/07
</t>
        </r>
      </text>
    </comment>
    <comment ref="D445" authorId="1" shapeId="0" xr:uid="{00000000-0006-0000-0000-00003E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07/-8 - 50 catches
</t>
        </r>
      </text>
    </comment>
    <comment ref="H445" authorId="0" shapeId="0" xr:uid="{00000000-0006-0000-0000-00003F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05/06 - 2031 runs</t>
        </r>
      </text>
    </comment>
    <comment ref="L445" authorId="0" shapeId="0" xr:uid="{00000000-0006-0000-0000-000040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04/05 - 108 wkts</t>
        </r>
      </text>
    </comment>
    <comment ref="B458" authorId="2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5 year badge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67" authorId="1" shapeId="0" xr:uid="{00000000-0006-0000-0000-000042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07/08 - 1244 runs</t>
        </r>
      </text>
    </comment>
    <comment ref="L467" authorId="1" shapeId="0" xr:uid="{00000000-0006-0000-0000-000043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07/08 - 114 wickets.
</t>
        </r>
      </text>
    </comment>
    <comment ref="H481" authorId="0" shapeId="0" xr:uid="{00000000-0006-0000-0000-000044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04/05 - 2183 runs</t>
        </r>
      </text>
    </comment>
    <comment ref="L483" authorId="1" shapeId="0" xr:uid="{00000000-0006-0000-0000-000045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114 wickets 08/09
</t>
        </r>
      </text>
    </comment>
    <comment ref="L492" authorId="1" shapeId="0" xr:uid="{00000000-0006-0000-0000-000046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108 wickets - 08/09</t>
        </r>
      </text>
    </comment>
    <comment ref="D494" authorId="0" shapeId="0" xr:uid="{00000000-0006-0000-0000-000047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>150 catches - 2011/12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08/09 - 111 catch's</t>
        </r>
        <r>
          <rPr>
            <b/>
            <sz val="8"/>
            <color indexed="81"/>
            <rFont val="Tahoma"/>
            <family val="2"/>
          </rPr>
          <t xml:space="preserve">
S. Norris:</t>
        </r>
        <r>
          <rPr>
            <sz val="8"/>
            <color indexed="81"/>
            <rFont val="Tahoma"/>
            <family val="2"/>
          </rPr>
          <t xml:space="preserve">
Milestone
04/05 - 54 catches
</t>
        </r>
      </text>
    </comment>
    <comment ref="H494" authorId="2" shapeId="0" xr:uid="{00000000-0006-0000-0000-000048000000}">
      <text>
        <r>
          <rPr>
            <b/>
            <sz val="9"/>
            <color indexed="81"/>
            <rFont val="Tahoma"/>
            <family val="2"/>
          </rPr>
          <t>Damian:</t>
        </r>
        <r>
          <rPr>
            <sz val="9"/>
            <color indexed="81"/>
            <rFont val="Tahoma"/>
            <family val="2"/>
          </rPr>
          <t xml:space="preserve">
milestone.
1045 runs - 2011/12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96" authorId="2" shapeId="0" xr:uid="{00000000-0006-0000-0000-000049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5 year badge - 11/12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97" authorId="1" shapeId="0" xr:uid="{00000000-0006-0000-0000-00004A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5 year badge - 08/09</t>
        </r>
      </text>
    </comment>
    <comment ref="L498" authorId="1" shapeId="0" xr:uid="{00000000-0006-0000-0000-00004B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07/08 - 103 wickets.
</t>
        </r>
      </text>
    </comment>
    <comment ref="H512" authorId="0" shapeId="0" xr:uid="{00000000-0006-0000-0000-00004C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05/06 - 2012 runs</t>
        </r>
      </text>
    </comment>
    <comment ref="H514" authorId="1" shapeId="0" xr:uid="{00000000-0006-0000-0000-00004D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1032 runs - 09/10</t>
        </r>
      </text>
    </comment>
    <comment ref="B541" authorId="1" shapeId="0" xr:uid="{00000000-0006-0000-0000-00004E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5 year badge - 08/09</t>
        </r>
      </text>
    </comment>
    <comment ref="D541" authorId="1" shapeId="0" xr:uid="{00000000-0006-0000-0000-00004F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209 catches -2017/18
166 catches - 2014/15
111 catches 2011/12
53 catches - 2009/2010</t>
        </r>
      </text>
    </comment>
    <comment ref="E541" authorId="2" shapeId="0" xr:uid="{00000000-0006-0000-0000-000050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51 stumpings -2017/18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41" authorId="1" shapeId="0" xr:uid="{00000000-0006-0000-0000-000051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5038 runs - 2016/17
4226 runs - 2013/14
3174 runs - 2011/2012
2351 runs - 2010/2011
1652 runs - 2009/2010
</t>
        </r>
      </text>
    </comment>
    <comment ref="L541" authorId="2" shapeId="0" xr:uid="{00000000-0006-0000-0000-000052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125 wickets - 2011/12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59" authorId="2" shapeId="0" xr:uid="{00000000-0006-0000-0000-000053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1210 runs -2018/19
</t>
        </r>
      </text>
    </comment>
    <comment ref="L575" authorId="1" shapeId="0" xr:uid="{00000000-0006-0000-0000-000054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07/08 - 199 wickets.
</t>
        </r>
      </text>
    </comment>
    <comment ref="B580" authorId="2" shapeId="0" xr:uid="{00000000-0006-0000-0000-000055000000}">
      <text>
        <r>
          <rPr>
            <b/>
            <sz val="9"/>
            <color indexed="81"/>
            <rFont val="Tahoma"/>
            <family val="2"/>
          </rPr>
          <t>Damian:</t>
        </r>
        <r>
          <rPr>
            <sz val="9"/>
            <color indexed="81"/>
            <rFont val="Tahoma"/>
            <family val="2"/>
          </rPr>
          <t xml:space="preserve">
5 year badge</t>
        </r>
      </text>
    </comment>
    <comment ref="H589" authorId="2" shapeId="0" xr:uid="{00000000-0006-0000-0000-000056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1253 runs -2015/16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08" authorId="0" shapeId="0" xr:uid="{00000000-0006-0000-0000-000057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04/05 - 55 catches</t>
        </r>
      </text>
    </comment>
    <comment ref="B634" authorId="1" shapeId="0" xr:uid="{00000000-0006-0000-0000-000058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5 year badge - 08/09</t>
        </r>
      </text>
    </comment>
    <comment ref="H663" authorId="4" shapeId="0" xr:uid="{3C92D99F-1BB8-4FA4-9719-74B847A52787}">
      <text>
        <r>
          <rPr>
            <b/>
            <sz val="9"/>
            <color indexed="81"/>
            <rFont val="Tahoma"/>
            <family val="2"/>
          </rPr>
          <t>Ian Warwick:</t>
        </r>
        <r>
          <rPr>
            <sz val="9"/>
            <color indexed="81"/>
            <rFont val="Tahoma"/>
            <family val="2"/>
          </rPr>
          <t xml:space="preserve">
22/23 - 1028 runs</t>
        </r>
      </text>
    </comment>
    <comment ref="D678" authorId="1" shapeId="0" xr:uid="{00000000-0006-0000-0000-000059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100 catch's - 08/09</t>
        </r>
      </text>
    </comment>
    <comment ref="H678" authorId="0" shapeId="0" xr:uid="{00000000-0006-0000-0000-00005A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>Milestone.
5042 runs -2018/19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4088 runs -2013/14</t>
        </r>
        <r>
          <rPr>
            <b/>
            <sz val="8"/>
            <color indexed="81"/>
            <rFont val="Tahoma"/>
            <family val="2"/>
          </rPr>
          <t xml:space="preserve">
S. Norris:</t>
        </r>
        <r>
          <rPr>
            <sz val="8"/>
            <color indexed="81"/>
            <rFont val="Tahoma"/>
            <family val="2"/>
          </rPr>
          <t xml:space="preserve">
Milestone
04/05 - 3345 runs</t>
        </r>
      </text>
    </comment>
    <comment ref="L678" authorId="0" shapeId="0" xr:uid="{00000000-0006-0000-0000-00005B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 xml:space="preserve">Milestone.
418 wickets -2015/16
</t>
        </r>
        <r>
          <rPr>
            <b/>
            <sz val="8"/>
            <color indexed="81"/>
            <rFont val="Tahoma"/>
            <family val="2"/>
          </rPr>
          <t xml:space="preserve">S. Norris:
</t>
        </r>
        <r>
          <rPr>
            <sz val="8"/>
            <color indexed="81"/>
            <rFont val="Tahoma"/>
            <family val="2"/>
          </rPr>
          <t>324 wickets -2006/07</t>
        </r>
      </text>
    </comment>
    <comment ref="D679" authorId="0" shapeId="0" xr:uid="{00000000-0006-0000-0000-00005C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06/07 - 101 catches</t>
        </r>
      </text>
    </comment>
    <comment ref="H679" authorId="0" shapeId="0" xr:uid="{00000000-0006-0000-0000-00005D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>milestone.
8127 runs - 2016/17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7146 runs - 2014/15</t>
        </r>
        <r>
          <rPr>
            <b/>
            <sz val="8"/>
            <color indexed="81"/>
            <rFont val="Tahoma"/>
            <family val="2"/>
          </rPr>
          <t xml:space="preserve">
S. Norris:</t>
        </r>
        <r>
          <rPr>
            <sz val="8"/>
            <color indexed="81"/>
            <rFont val="Tahoma"/>
            <family val="2"/>
          </rPr>
          <t xml:space="preserve">
Milestone
06/07 - 6042 runs</t>
        </r>
      </text>
    </comment>
    <comment ref="L679" authorId="0" shapeId="0" xr:uid="{00000000-0006-0000-0000-00005E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>Milestone.
529 wickets -2018/19
434 wickets -2015/16</t>
        </r>
        <r>
          <rPr>
            <b/>
            <sz val="8"/>
            <color indexed="81"/>
            <rFont val="Tahoma"/>
            <family val="2"/>
          </rPr>
          <t xml:space="preserve">
S. Norris:</t>
        </r>
        <r>
          <rPr>
            <sz val="8"/>
            <color indexed="81"/>
            <rFont val="Tahoma"/>
            <family val="2"/>
          </rPr>
          <t xml:space="preserve">
312 wickets -2006/07
</t>
        </r>
      </text>
    </comment>
    <comment ref="B755" authorId="2" shapeId="0" xr:uid="{00000000-0006-0000-0000-00005F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5 year badge -2011/2012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757" authorId="2" shapeId="0" xr:uid="{00000000-0006-0000-0000-000060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1050 runs -2020/21
</t>
        </r>
      </text>
    </comment>
    <comment ref="B767" authorId="1" shapeId="0" xr:uid="{00000000-0006-0000-0000-000061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5 year badge - 08/09
</t>
        </r>
      </text>
    </comment>
    <comment ref="H771" authorId="4" shapeId="0" xr:uid="{DE2E189F-C538-40BB-BFD8-1E047452800E}">
      <text>
        <r>
          <rPr>
            <b/>
            <sz val="9"/>
            <color indexed="81"/>
            <rFont val="Tahoma"/>
            <family val="2"/>
          </rPr>
          <t>Ian Warwick:</t>
        </r>
        <r>
          <rPr>
            <sz val="9"/>
            <color indexed="81"/>
            <rFont val="Tahoma"/>
            <family val="2"/>
          </rPr>
          <t xml:space="preserve">
22/23 - 1088 runs</t>
        </r>
      </text>
    </comment>
    <comment ref="D847" authorId="1" shapeId="0" xr:uid="{00000000-0006-0000-0000-000062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52 catches - 2009/2010</t>
        </r>
      </text>
    </comment>
    <comment ref="H847" authorId="1" shapeId="0" xr:uid="{00000000-0006-0000-0000-000063000000}">
      <text>
        <r>
          <rPr>
            <b/>
            <sz val="8"/>
            <color indexed="81"/>
            <rFont val="Tahoma"/>
            <family val="2"/>
          </rPr>
          <t>Carol:</t>
        </r>
        <r>
          <rPr>
            <sz val="8"/>
            <color indexed="81"/>
            <rFont val="Tahoma"/>
            <family val="2"/>
          </rPr>
          <t xml:space="preserve">
Milestone.
2073 runs - 2013/14
</t>
        </r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1058 runs - 2009/2010
</t>
        </r>
        <r>
          <rPr>
            <sz val="8"/>
            <color indexed="81"/>
            <rFont val="Tahoma"/>
            <family val="2"/>
          </rPr>
          <t xml:space="preserve">
 </t>
        </r>
      </text>
    </comment>
    <comment ref="B849" authorId="2" shapeId="0" xr:uid="{00000000-0006-0000-0000-000064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5 year badge 12/13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49" authorId="2" shapeId="0" xr:uid="{00000000-0006-0000-0000-000065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107 wickets - 2013/14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64" authorId="0" shapeId="0" xr:uid="{00000000-0006-0000-0000-000066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06/07 - 52 catches</t>
        </r>
      </text>
    </comment>
    <comment ref="H864" authorId="0" shapeId="0" xr:uid="{00000000-0006-0000-0000-000067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>Milestone.
3009 runs -2018/19</t>
        </r>
        <r>
          <rPr>
            <b/>
            <sz val="8"/>
            <color indexed="81"/>
            <rFont val="Tahoma"/>
            <family val="2"/>
          </rPr>
          <t xml:space="preserve">
S. Norris:</t>
        </r>
        <r>
          <rPr>
            <sz val="8"/>
            <color indexed="81"/>
            <rFont val="Tahoma"/>
            <family val="2"/>
          </rPr>
          <t xml:space="preserve">
Milestone
06/07 - 2239 runs</t>
        </r>
      </text>
    </comment>
    <comment ref="D865" authorId="1" shapeId="0" xr:uid="{00000000-0006-0000-0000-000068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75 catch's - 08/09</t>
        </r>
      </text>
    </comment>
    <comment ref="H865" authorId="1" shapeId="0" xr:uid="{00000000-0006-0000-0000-000069000000}">
      <text>
        <r>
          <rPr>
            <b/>
            <sz val="8"/>
            <color indexed="81"/>
            <rFont val="Tahoma"/>
            <family val="2"/>
          </rPr>
          <t>Carol:</t>
        </r>
        <r>
          <rPr>
            <sz val="8"/>
            <color indexed="81"/>
            <rFont val="Tahoma"/>
            <family val="2"/>
          </rPr>
          <t xml:space="preserve">
milestone.
3104 runs - 2013/14
2780 runs - 08/09</t>
        </r>
      </text>
    </comment>
    <comment ref="L865" authorId="1" shapeId="0" xr:uid="{00000000-0006-0000-0000-00006A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355 wickets - 08/09</t>
        </r>
      </text>
    </comment>
    <comment ref="D871" authorId="1" shapeId="0" xr:uid="{00000000-0006-0000-0000-00006B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51 wickets - 2009/2010</t>
        </r>
      </text>
    </comment>
    <comment ref="H871" authorId="1" shapeId="0" xr:uid="{00000000-0006-0000-0000-00006C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3047 runs - 08/09</t>
        </r>
      </text>
    </comment>
    <comment ref="L871" authorId="1" shapeId="0" xr:uid="{00000000-0006-0000-0000-00006D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114 wickets - 08/09</t>
        </r>
      </text>
    </comment>
    <comment ref="D931" authorId="2" shapeId="0" xr:uid="{00000000-0006-0000-0000-00006E000000}">
      <text>
        <r>
          <rPr>
            <b/>
            <sz val="9"/>
            <color indexed="81"/>
            <rFont val="Tahoma"/>
            <family val="2"/>
          </rPr>
          <t>Damian:</t>
        </r>
        <r>
          <rPr>
            <sz val="9"/>
            <color indexed="81"/>
            <rFont val="Tahoma"/>
            <family val="2"/>
          </rPr>
          <t xml:space="preserve">
milestone.
105 catches - 2015/16
58 catches - 2011/12</t>
        </r>
      </text>
    </comment>
    <comment ref="H931" authorId="0" shapeId="0" xr:uid="{00000000-0006-0000-0000-00006F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>Milestone.
4187 runs -2018/19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3072 runs -2014/15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2246 runs -2010/11
</t>
        </r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06/07 - 1104 runs
</t>
        </r>
      </text>
    </comment>
    <comment ref="L931" authorId="1" shapeId="0" xr:uid="{00000000-0006-0000-0000-000070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104 wickets -2007/08
</t>
        </r>
      </text>
    </comment>
    <comment ref="B933" authorId="2" shapeId="0" xr:uid="{00000000-0006-0000-0000-000071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5 year badge - 12/13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46" authorId="0" shapeId="0" xr:uid="{00000000-0006-0000-0000-000072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05/06 - 52 catches</t>
        </r>
      </text>
    </comment>
    <comment ref="H946" authorId="0" shapeId="0" xr:uid="{00000000-0006-0000-0000-000073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06/07 - 1022 runs</t>
        </r>
      </text>
    </comment>
    <comment ref="L946" authorId="1" shapeId="0" xr:uid="{00000000-0006-0000-0000-000074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07/08 - 105 wickets.
</t>
        </r>
      </text>
    </comment>
    <comment ref="D979" authorId="2" shapeId="0" xr:uid="{00000000-0006-0000-0000-000075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62 catches - 2010/2011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86" authorId="0" shapeId="0" xr:uid="{00000000-0006-0000-0000-000076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06/07 - 54 catches</t>
        </r>
      </text>
    </comment>
    <comment ref="H986" authorId="0" shapeId="0" xr:uid="{00000000-0006-0000-0000-000077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05/06 - 2398 runs
</t>
        </r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07/08 - 3195 runs
</t>
        </r>
      </text>
    </comment>
    <comment ref="L986" authorId="1" shapeId="0" xr:uid="{00000000-0006-0000-0000-000078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07/08 - 190 wickets.
</t>
        </r>
      </text>
    </comment>
    <comment ref="H1011" authorId="3" shapeId="0" xr:uid="{E36937F5-5136-45D4-B2EA-B5E8BA345A6D}">
      <text>
        <r>
          <rPr>
            <b/>
            <sz val="9"/>
            <color indexed="81"/>
            <rFont val="Tahoma"/>
            <family val="2"/>
          </rPr>
          <t xml:space="preserve">Ali:
</t>
        </r>
        <r>
          <rPr>
            <sz val="9"/>
            <color indexed="81"/>
            <rFont val="Tahoma"/>
            <family val="2"/>
          </rPr>
          <t xml:space="preserve">Milestone 
21/22 - 1090 Runs
</t>
        </r>
      </text>
    </comment>
    <comment ref="D1013" authorId="1" shapeId="0" xr:uid="{00000000-0006-0000-0000-000079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 -  57 catches
10/11 - 103 catches
</t>
        </r>
      </text>
    </comment>
    <comment ref="H1013" authorId="1" shapeId="0" xr:uid="{00000000-0006-0000-0000-00007A000000}">
      <text>
        <r>
          <rPr>
            <b/>
            <sz val="8"/>
            <color indexed="81"/>
            <rFont val="Tahoma"/>
            <family val="2"/>
          </rPr>
          <t xml:space="preserve">
Carol:
</t>
        </r>
        <r>
          <rPr>
            <sz val="8"/>
            <color indexed="81"/>
            <rFont val="Tahoma"/>
            <family val="2"/>
          </rPr>
          <t>milestone.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13/14 - 2033 runs</t>
        </r>
        <r>
          <rPr>
            <b/>
            <sz val="8"/>
            <color indexed="81"/>
            <rFont val="Tahoma"/>
            <family val="2"/>
          </rPr>
          <t xml:space="preserve">
Damian:</t>
        </r>
        <r>
          <rPr>
            <sz val="8"/>
            <color indexed="81"/>
            <rFont val="Tahoma"/>
            <family val="2"/>
          </rPr>
          <t xml:space="preserve">
Milestone.
07/08 - 1188 runs
</t>
        </r>
      </text>
    </comment>
    <comment ref="B1051" authorId="1" shapeId="0" xr:uid="{00000000-0006-0000-0000-00007B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5 year badge - 08/09
</t>
        </r>
      </text>
    </comment>
    <comment ref="D1051" authorId="2" shapeId="0" xr:uid="{00000000-0006-0000-0000-00007C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53 catches - 2011/12</t>
        </r>
      </text>
    </comment>
    <comment ref="H1051" authorId="1" shapeId="0" xr:uid="{00000000-0006-0000-0000-00007D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2046 runs - 2009/2010
1085 runs - 2008/2009
</t>
        </r>
      </text>
    </comment>
    <comment ref="L1051" authorId="1" shapeId="0" xr:uid="{00000000-0006-0000-0000-00007E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308 wickets - 2017/18
229 wickets - 2013/14
135 wickets - 2009/10
</t>
        </r>
      </text>
    </comment>
    <comment ref="B1052" authorId="2" shapeId="0" xr:uid="{00000000-0006-0000-0000-00007F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5 year badge - 12/13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55" authorId="1" shapeId="0" xr:uid="{00000000-0006-0000-0000-000080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50 catch's - 08/09
</t>
        </r>
      </text>
    </comment>
    <comment ref="H1055" authorId="0" shapeId="0" xr:uid="{00000000-0006-0000-0000-000081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04/05 - 1056 runs
08/09 - 2095 runs
</t>
        </r>
      </text>
    </comment>
    <comment ref="L1055" authorId="0" shapeId="0" xr:uid="{00000000-0006-0000-0000-000082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04/05 - 130 wkts
</t>
        </r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07/08 - 219 wickets.</t>
        </r>
      </text>
    </comment>
    <comment ref="H1057" authorId="3" shapeId="0" xr:uid="{EF94ABF2-C6E4-4CE5-8F8F-80E9EDF370D4}">
      <text>
        <r>
          <rPr>
            <b/>
            <sz val="9"/>
            <color indexed="81"/>
            <rFont val="Tahoma"/>
            <family val="2"/>
          </rPr>
          <t xml:space="preserve">Ali:
</t>
        </r>
        <r>
          <rPr>
            <sz val="9"/>
            <color indexed="81"/>
            <rFont val="Tahoma"/>
            <family val="2"/>
          </rPr>
          <t xml:space="preserve">Milestone
21/22 - 1032 Runs
</t>
        </r>
      </text>
    </comment>
    <comment ref="L1057" authorId="3" shapeId="0" xr:uid="{BC1D07BD-ADAB-4599-8F9C-98A062E6AE34}">
      <text>
        <r>
          <rPr>
            <b/>
            <sz val="9"/>
            <color indexed="81"/>
            <rFont val="Tahoma"/>
            <family val="2"/>
          </rPr>
          <t>Ali:</t>
        </r>
        <r>
          <rPr>
            <sz val="9"/>
            <color indexed="81"/>
            <rFont val="Tahoma"/>
            <family val="2"/>
          </rPr>
          <t xml:space="preserve">
Milestone
108 wickets 2021/22</t>
        </r>
      </text>
    </comment>
    <comment ref="B1082" authorId="1" shapeId="0" xr:uid="{00000000-0006-0000-0000-000083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5 year badge - 08/09</t>
        </r>
      </text>
    </comment>
    <comment ref="D1082" authorId="2" shapeId="0" xr:uid="{00000000-0006-0000-0000-000084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53 catches - 12/13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82" authorId="1" shapeId="0" xr:uid="{00000000-0006-0000-0000-000085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1113 runs - 2009/2010
2011 runs - 2011/2012
</t>
        </r>
      </text>
    </comment>
    <comment ref="L1082" authorId="2" shapeId="0" xr:uid="{00000000-0006-0000-0000-000086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111 wickets 2011/12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83" authorId="2" shapeId="0" xr:uid="{00000000-0006-0000-0000-000087000000}">
      <text>
        <r>
          <rPr>
            <b/>
            <sz val="9"/>
            <color indexed="81"/>
            <rFont val="Tahoma"/>
            <family val="2"/>
          </rPr>
          <t xml:space="preserve">D. Hill:
</t>
        </r>
        <r>
          <rPr>
            <sz val="9"/>
            <color indexed="81"/>
            <rFont val="Tahoma"/>
            <family val="2"/>
          </rPr>
          <t xml:space="preserve">milestone
52 catches - 2015/16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83" authorId="2" shapeId="0" xr:uid="{00000000-0006-0000-0000-000088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1151 runs - 2014/15
22/23 - 2066 runs
</t>
        </r>
      </text>
    </comment>
    <comment ref="L1083" authorId="2" shapeId="0" xr:uid="{00000000-0006-0000-0000-000089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100 wickets - 2014/15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92" authorId="1" shapeId="0" xr:uid="{00000000-0006-0000-0000-00008A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52 catch's - 08/09</t>
        </r>
      </text>
    </comment>
    <comment ref="H1092" authorId="1" shapeId="0" xr:uid="{00000000-0006-0000-0000-00008B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07/08 - 2004 runs
</t>
        </r>
      </text>
    </comment>
    <comment ref="L1097" authorId="0" shapeId="0" xr:uid="{00000000-0006-0000-0000-00008C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06/07 - 102 wkts</t>
        </r>
      </text>
    </comment>
    <comment ref="H1098" authorId="1" shapeId="0" xr:uid="{00000000-0006-0000-0000-00008D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
1042 runs 2008/2009
</t>
        </r>
      </text>
    </comment>
    <comment ref="H1131" authorId="4" shapeId="0" xr:uid="{19D77452-70A2-448C-BEE6-DE53AE13D919}">
      <text>
        <r>
          <rPr>
            <b/>
            <sz val="9"/>
            <color indexed="81"/>
            <rFont val="Tahoma"/>
            <family val="2"/>
          </rPr>
          <t>Ian Warwick:</t>
        </r>
        <r>
          <rPr>
            <sz val="9"/>
            <color indexed="81"/>
            <rFont val="Tahoma"/>
            <family val="2"/>
          </rPr>
          <t xml:space="preserve">
22/23 - 1070 runs</t>
        </r>
      </text>
    </comment>
    <comment ref="H1145" authorId="4" shapeId="0" xr:uid="{E6AB4A36-17AD-4A19-8054-B02BE2BDE069}">
      <text>
        <r>
          <rPr>
            <b/>
            <sz val="9"/>
            <color indexed="81"/>
            <rFont val="Tahoma"/>
            <family val="2"/>
          </rPr>
          <t>Ian Warwick:</t>
        </r>
        <r>
          <rPr>
            <sz val="9"/>
            <color indexed="81"/>
            <rFont val="Tahoma"/>
            <family val="2"/>
          </rPr>
          <t xml:space="preserve">
22/23 - 1158 runs</t>
        </r>
      </text>
    </comment>
    <comment ref="H1148" authorId="1" shapeId="0" xr:uid="{00000000-0006-0000-0000-00008E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1138 runs - 08/09</t>
        </r>
      </text>
    </comment>
    <comment ref="H1154" authorId="1" shapeId="0" xr:uid="{00000000-0006-0000-0000-00008F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1606 runs - 08/09
2036 runs - 2009/2010</t>
        </r>
      </text>
    </comment>
    <comment ref="D1158" authorId="1" shapeId="0" xr:uid="{00000000-0006-0000-0000-000090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101 catches - 2015/16
52 catches - 2009/2010</t>
        </r>
      </text>
    </comment>
    <comment ref="H1158" authorId="0" shapeId="0" xr:uid="{00000000-0006-0000-0000-000091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>Milestone.
5029 runs -2018/19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4114 runs -2014/15
3177 runs -2011/12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07/08 - 2324 runs</t>
        </r>
        <r>
          <rPr>
            <b/>
            <sz val="8"/>
            <color indexed="81"/>
            <rFont val="Tahoma"/>
            <family val="2"/>
          </rPr>
          <t xml:space="preserve">
S. Norris:</t>
        </r>
        <r>
          <rPr>
            <sz val="8"/>
            <color indexed="81"/>
            <rFont val="Tahoma"/>
            <family val="2"/>
          </rPr>
          <t xml:space="preserve">
Milestone
05/06 - 1093 runs
22/23 - 6097 runs
</t>
        </r>
      </text>
    </comment>
    <comment ref="B1159" authorId="1" shapeId="0" xr:uid="{00000000-0006-0000-0000-000092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5 year badge - 08/09
</t>
        </r>
      </text>
    </comment>
    <comment ref="D1159" authorId="1" shapeId="0" xr:uid="{00000000-0006-0000-0000-000093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101 catches - 2019/20
  57 catches - 2009/2010</t>
        </r>
      </text>
    </comment>
    <comment ref="H1159" authorId="1" shapeId="0" xr:uid="{00000000-0006-0000-0000-000094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4297 runs -2018/19
3232 runs -2014/15
2258 runs -2010/11
1224 runs -2008/09
</t>
        </r>
      </text>
    </comment>
    <comment ref="L1159" authorId="1" shapeId="0" xr:uid="{00000000-0006-0000-0000-000095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300 wickets - 2020/21
221 wickets - 2017/18
113 wickets - 2007/08
Revised after noting mistake 19/5/08 - 43wkts
103 wkts. - 2010/2011
</t>
        </r>
      </text>
    </comment>
    <comment ref="B1177" authorId="2" shapeId="0" xr:uid="{00000000-0006-0000-0000-000096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5 yesr badge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179" authorId="2" shapeId="0" xr:uid="{00000000-0006-0000-0000-000097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1166 runs - 2016/17
</t>
        </r>
      </text>
    </comment>
    <comment ref="H1195" authorId="2" shapeId="0" xr:uid="{00000000-0006-0000-0000-000098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1119 runs - 2017/18
2026 runs - 2019/20
</t>
        </r>
      </text>
    </comment>
    <comment ref="H1211" authorId="4" shapeId="0" xr:uid="{21DBA775-780F-472E-B2DF-942F579483FF}">
      <text>
        <r>
          <rPr>
            <b/>
            <sz val="9"/>
            <color indexed="81"/>
            <rFont val="Tahoma"/>
            <family val="2"/>
          </rPr>
          <t>Ian Warwick:</t>
        </r>
        <r>
          <rPr>
            <sz val="9"/>
            <color indexed="81"/>
            <rFont val="Tahoma"/>
            <family val="2"/>
          </rPr>
          <t xml:space="preserve">
22/23 - 1234 runs</t>
        </r>
      </text>
    </comment>
    <comment ref="H1218" authorId="2" shapeId="0" xr:uid="{00000000-0006-0000-0000-000099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1225 runs - 2019/20
</t>
        </r>
        <r>
          <rPr>
            <b/>
            <sz val="9"/>
            <color indexed="81"/>
            <rFont val="Tahoma"/>
            <family val="2"/>
          </rPr>
          <t>Ali:</t>
        </r>
        <r>
          <rPr>
            <sz val="9"/>
            <color indexed="81"/>
            <rFont val="Tahoma"/>
            <family val="2"/>
          </rPr>
          <t xml:space="preserve">
1741 runs - 2021/22</t>
        </r>
      </text>
    </comment>
    <comment ref="L1218" authorId="2" shapeId="0" xr:uid="{00000000-0006-0000-0000-00009A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103 wickets - 2019/20
</t>
        </r>
        <r>
          <rPr>
            <b/>
            <sz val="9"/>
            <color indexed="81"/>
            <rFont val="Tahoma"/>
            <family val="2"/>
          </rPr>
          <t>Ali:</t>
        </r>
        <r>
          <rPr>
            <sz val="9"/>
            <color indexed="81"/>
            <rFont val="Tahoma"/>
            <family val="2"/>
          </rPr>
          <t xml:space="preserve">
150 wickets - 2021/22</t>
        </r>
      </text>
    </comment>
    <comment ref="D1220" authorId="3" shapeId="0" xr:uid="{DC209AF4-64FC-4824-814E-C84CC06F96C7}">
      <text>
        <r>
          <rPr>
            <b/>
            <sz val="9"/>
            <color indexed="81"/>
            <rFont val="Tahoma"/>
            <family val="2"/>
          </rPr>
          <t xml:space="preserve">Ali:
</t>
        </r>
        <r>
          <rPr>
            <sz val="9"/>
            <color indexed="81"/>
            <rFont val="Tahoma"/>
            <family val="2"/>
          </rPr>
          <t>Milestone
21/22 - 50 catches</t>
        </r>
      </text>
    </comment>
    <comment ref="H1220" authorId="1" shapeId="0" xr:uid="{00000000-0006-0000-0000-00009B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07/08 - 1855 runs
2211 runs - 2010/2011</t>
        </r>
      </text>
    </comment>
    <comment ref="L1220" authorId="0" shapeId="0" xr:uid="{00000000-0006-0000-0000-00009C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05/06 - 137 wkts
</t>
        </r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207 wickets - 2009/2010</t>
        </r>
      </text>
    </comment>
    <comment ref="D1239" authorId="2" shapeId="0" xr:uid="{00000000-0006-0000-0000-00009D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51 catches - 2014/15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39" authorId="2" shapeId="0" xr:uid="{00000000-0006-0000-0000-00009E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1206 runs - 2010/2011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70" authorId="1" shapeId="0" xr:uid="{00000000-0006-0000-0000-00009F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1112 runs - 08/09</t>
        </r>
      </text>
    </comment>
    <comment ref="L1270" authorId="1" shapeId="0" xr:uid="{00000000-0006-0000-0000-0000A0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127 wickets - 2009/2010</t>
        </r>
      </text>
    </comment>
    <comment ref="D1286" authorId="2" shapeId="0" xr:uid="{00000000-0006-0000-0000-0000A1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57 catches - 2014/15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286" authorId="2" shapeId="0" xr:uid="{00000000-0006-0000-0000-0000A2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3802 runs - 2014/15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86" authorId="2" shapeId="0" xr:uid="{00000000-0006-0000-0000-0000A3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208 wickets 2014/15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87" authorId="2" shapeId="0" xr:uid="{00000000-0006-0000-0000-0000A4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62 catches -2018/19
</t>
        </r>
      </text>
    </comment>
    <comment ref="H1287" authorId="2" shapeId="0" xr:uid="{00000000-0006-0000-0000-0000A5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3492 runs -2018/19
</t>
        </r>
      </text>
    </comment>
    <comment ref="L1287" authorId="0" shapeId="0" xr:uid="{00000000-0006-0000-0000-0000A6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04/05 - 103 wkts</t>
        </r>
      </text>
    </comment>
    <comment ref="H1295" authorId="3" shapeId="0" xr:uid="{D500CC5C-3CE4-4AE4-B810-53F73B106E0A}">
      <text>
        <r>
          <rPr>
            <b/>
            <sz val="9"/>
            <color indexed="81"/>
            <rFont val="Tahoma"/>
            <family val="2"/>
          </rPr>
          <t xml:space="preserve">Ali:
</t>
        </r>
        <r>
          <rPr>
            <sz val="9"/>
            <color indexed="81"/>
            <rFont val="Tahoma"/>
            <family val="2"/>
          </rPr>
          <t xml:space="preserve">Milestone
21/22 - 1129 Runs
</t>
        </r>
      </text>
    </comment>
    <comment ref="L1331" authorId="3" shapeId="0" xr:uid="{96E29DEF-5A77-408A-8A94-4A6F7A8D4F31}">
      <text>
        <r>
          <rPr>
            <b/>
            <sz val="9"/>
            <color indexed="81"/>
            <rFont val="Tahoma"/>
            <family val="2"/>
          </rPr>
          <t xml:space="preserve">Ali:
</t>
        </r>
        <r>
          <rPr>
            <sz val="9"/>
            <color indexed="81"/>
            <rFont val="Tahoma"/>
            <family val="2"/>
          </rPr>
          <t xml:space="preserve">Milestone
21/22 - 114 wickets
</t>
        </r>
      </text>
    </comment>
    <comment ref="H1354" authorId="0" shapeId="0" xr:uid="{00000000-0006-0000-0000-0000A7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04/05 - 1025 runs</t>
        </r>
      </text>
    </comment>
    <comment ref="L1376" authorId="0" shapeId="0" xr:uid="{00000000-0006-0000-0000-0000A8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06/07 - 215 wkts</t>
        </r>
      </text>
    </comment>
    <comment ref="H1403" authorId="2" shapeId="0" xr:uid="{00000000-0006-0000-0000-0000A9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1061 runs - 2019/20
</t>
        </r>
      </text>
    </comment>
    <comment ref="H1432" authorId="1" shapeId="0" xr:uid="{00000000-0006-0000-0000-0000AA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1010 runs 08/09
</t>
        </r>
      </text>
    </comment>
    <comment ref="L1432" authorId="2" shapeId="0" xr:uid="{00000000-0006-0000-0000-0000AB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100 wickets - 2011/12
</t>
        </r>
      </text>
    </comment>
    <comment ref="D1451" authorId="4" shapeId="0" xr:uid="{7A2E41BE-C46C-4EF0-9F5A-5DAC077EDCC9}">
      <text>
        <r>
          <rPr>
            <b/>
            <sz val="9"/>
            <color indexed="81"/>
            <rFont val="Tahoma"/>
            <family val="2"/>
          </rPr>
          <t>Ian Warwick:</t>
        </r>
        <r>
          <rPr>
            <sz val="9"/>
            <color indexed="81"/>
            <rFont val="Tahoma"/>
            <family val="2"/>
          </rPr>
          <t xml:space="preserve">
22/23 - 50 catches</t>
        </r>
      </text>
    </comment>
    <comment ref="H1451" authorId="2" shapeId="0" xr:uid="{00000000-0006-0000-0000-0000AC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1124 runs - 2020/21
</t>
        </r>
      </text>
    </comment>
    <comment ref="B1455" authorId="2" shapeId="0" xr:uid="{00000000-0006-0000-0000-0000AD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5 year badge - 12/13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57" authorId="1" shapeId="0" xr:uid="{00000000-0006-0000-0000-0000AE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5 yesr badge - 08/09</t>
        </r>
      </text>
    </comment>
    <comment ref="L1465" authorId="2" shapeId="0" xr:uid="{00000000-0006-0000-0000-0000AF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101 wickets - 2013/14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497" authorId="2" shapeId="0" xr:uid="{00000000-0006-0000-0000-0000B0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milestone.
1074 runs - 2011/12</t>
        </r>
      </text>
    </comment>
    <comment ref="D1510" authorId="1" shapeId="0" xr:uid="{00000000-0006-0000-0000-0000B1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159 catches - 2014/15
07/08 - 108 catches, 6 stp
</t>
        </r>
      </text>
    </comment>
    <comment ref="H1510" authorId="1" shapeId="0" xr:uid="{00000000-0006-0000-0000-0000B2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6018 runs - 2019/20
5334 runs - 2016/17
4337 runs - 2013/14
3088 runs - 2008/09
2877 runs - 2007/08
</t>
        </r>
      </text>
    </comment>
    <comment ref="D1512" authorId="1" shapeId="0" xr:uid="{00000000-0006-0000-0000-0000B3000000}">
      <text>
        <r>
          <rPr>
            <b/>
            <sz val="8"/>
            <color indexed="81"/>
            <rFont val="Tahoma"/>
            <family val="2"/>
          </rPr>
          <t xml:space="preserve">Damian:
</t>
        </r>
        <r>
          <rPr>
            <sz val="8"/>
            <color indexed="81"/>
            <rFont val="Tahoma"/>
            <family val="2"/>
          </rPr>
          <t>Milestone.</t>
        </r>
        <r>
          <rPr>
            <sz val="8"/>
            <color indexed="81"/>
            <rFont val="Tahoma"/>
            <family val="2"/>
          </rPr>
          <t xml:space="preserve">
51 catches - 2009/2010</t>
        </r>
      </text>
    </comment>
    <comment ref="H1512" authorId="1" shapeId="0" xr:uid="{00000000-0006-0000-0000-0000B4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07/08 - 1478 runs
2097 runs - 2009/2010</t>
        </r>
      </text>
    </comment>
    <comment ref="L1512" authorId="0" shapeId="0" xr:uid="{00000000-0006-0000-0000-0000B5000000}">
      <text>
        <r>
          <rPr>
            <b/>
            <sz val="8"/>
            <color indexed="81"/>
            <rFont val="Tahoma"/>
            <family val="2"/>
          </rPr>
          <t>S. Norris:</t>
        </r>
        <r>
          <rPr>
            <sz val="8"/>
            <color indexed="81"/>
            <rFont val="Tahoma"/>
            <family val="2"/>
          </rPr>
          <t xml:space="preserve">
Milestone
06/07 - 118 wkts</t>
        </r>
      </text>
    </comment>
    <comment ref="B1522" authorId="2" shapeId="0" xr:uid="{00000000-0006-0000-0000-0000B6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5 yesr badge - 12/13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534" authorId="1" shapeId="0" xr:uid="{00000000-0006-0000-0000-0000B7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153 catches - 2017/18
103 catches - 2009/2010
07/08 92 catches
</t>
        </r>
      </text>
    </comment>
    <comment ref="H1534" authorId="1" shapeId="0" xr:uid="{00000000-0006-0000-0000-0000B8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5181 runs - 2016/17
4189 runs - 2013/14
3119 runs - 2008/09
2962 runs - 2007/08
</t>
        </r>
      </text>
    </comment>
    <comment ref="L1534" authorId="1" shapeId="0" xr:uid="{00000000-0006-0000-0000-0000B9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209 wickets -2018/19
108 wickets -2007/08
</t>
        </r>
      </text>
    </comment>
    <comment ref="H1535" authorId="1" shapeId="0" xr:uid="{00000000-0006-0000-0000-0000BA000000}">
      <text>
        <r>
          <rPr>
            <b/>
            <sz val="8"/>
            <color indexed="81"/>
            <rFont val="Tahoma"/>
            <family val="2"/>
          </rPr>
          <t>Damian:</t>
        </r>
        <r>
          <rPr>
            <sz val="8"/>
            <color indexed="81"/>
            <rFont val="Tahoma"/>
            <family val="2"/>
          </rPr>
          <t xml:space="preserve">
milestone.
1128 runs - 08/09</t>
        </r>
      </text>
    </comment>
    <comment ref="D1539" authorId="2" shapeId="0" xr:uid="{00000000-0006-0000-0000-0000BB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55 catches - 2017/18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39" authorId="2" shapeId="0" xr:uid="{00000000-0006-0000-0000-0000BC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3055 runs - 2017/18
2327 runs - 2014/15
</t>
        </r>
      </text>
    </comment>
    <comment ref="L1539" authorId="2" shapeId="0" xr:uid="{00000000-0006-0000-0000-0000BD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 xml:space="preserve">milestone.
159 wickets - 2014/15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60" authorId="2" shapeId="0" xr:uid="{00000000-0006-0000-0000-0000BE000000}">
      <text>
        <r>
          <rPr>
            <b/>
            <sz val="9"/>
            <color indexed="81"/>
            <rFont val="Tahoma"/>
            <family val="2"/>
          </rPr>
          <t xml:space="preserve">Carol:
</t>
        </r>
        <r>
          <rPr>
            <sz val="9"/>
            <color indexed="81"/>
            <rFont val="Tahoma"/>
            <family val="2"/>
          </rPr>
          <t xml:space="preserve">2013/14 - 1017 runs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61" authorId="2" shapeId="0" xr:uid="{00000000-0006-0000-0000-0000BF000000}">
      <text>
        <r>
          <rPr>
            <b/>
            <sz val="9"/>
            <color indexed="81"/>
            <rFont val="Tahoma"/>
            <family val="2"/>
          </rPr>
          <t xml:space="preserve">Damian:
</t>
        </r>
        <r>
          <rPr>
            <sz val="9"/>
            <color indexed="81"/>
            <rFont val="Tahoma"/>
            <family val="2"/>
          </rPr>
          <t>5 year badge - 12/13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<sst xmlns="http://schemas.openxmlformats.org/spreadsheetml/2006/main" count="4128" uniqueCount="2778">
  <si>
    <t>Guildford Leagues Cricket Club Career Records</t>
  </si>
  <si>
    <t>Innings</t>
  </si>
  <si>
    <t>Not Outs</t>
  </si>
  <si>
    <t>H. Score</t>
  </si>
  <si>
    <t>Runs</t>
  </si>
  <si>
    <t>Ave</t>
  </si>
  <si>
    <t>Overs</t>
  </si>
  <si>
    <t>Wickets</t>
  </si>
  <si>
    <t>W</t>
  </si>
  <si>
    <t>M</t>
  </si>
  <si>
    <t>C</t>
  </si>
  <si>
    <t>D</t>
  </si>
  <si>
    <t>S</t>
  </si>
  <si>
    <t>T</t>
  </si>
  <si>
    <t>R</t>
  </si>
  <si>
    <t>B</t>
  </si>
  <si>
    <t>A</t>
  </si>
  <si>
    <t>N</t>
  </si>
  <si>
    <t>L</t>
  </si>
  <si>
    <t>J</t>
  </si>
  <si>
    <t>P</t>
  </si>
  <si>
    <t>G</t>
  </si>
  <si>
    <t>K</t>
  </si>
  <si>
    <t>Hubbard</t>
  </si>
  <si>
    <t>H</t>
  </si>
  <si>
    <t>I</t>
  </si>
  <si>
    <t>V</t>
  </si>
  <si>
    <t>Matthew</t>
  </si>
  <si>
    <t>Nicholas</t>
  </si>
  <si>
    <t>Paul</t>
  </si>
  <si>
    <t>Phil</t>
  </si>
  <si>
    <t>Barry</t>
  </si>
  <si>
    <t>Faraj</t>
  </si>
  <si>
    <t>Brad</t>
  </si>
  <si>
    <t>Vinal</t>
  </si>
  <si>
    <t>E</t>
  </si>
  <si>
    <t>Martin</t>
  </si>
  <si>
    <t>Skeehan</t>
  </si>
  <si>
    <t>O</t>
  </si>
  <si>
    <t>George</t>
  </si>
  <si>
    <t>Ryan</t>
  </si>
  <si>
    <t>Z</t>
  </si>
  <si>
    <t>Madanmohan</t>
  </si>
  <si>
    <t>Michael</t>
  </si>
  <si>
    <t>Faisal</t>
  </si>
  <si>
    <t>Fawaz</t>
  </si>
  <si>
    <t xml:space="preserve"> </t>
  </si>
  <si>
    <t>Ravi</t>
  </si>
  <si>
    <t>Ramesh</t>
  </si>
  <si>
    <t>F</t>
  </si>
  <si>
    <t>Pradeep</t>
  </si>
  <si>
    <t>Chavi</t>
  </si>
  <si>
    <t>Zachary</t>
  </si>
  <si>
    <t>Jake</t>
  </si>
  <si>
    <t>Elias</t>
  </si>
  <si>
    <t>Joseph</t>
  </si>
  <si>
    <t>Christian</t>
  </si>
  <si>
    <t>Cameron</t>
  </si>
  <si>
    <t>Kenny Jnr</t>
  </si>
  <si>
    <t>Mark</t>
  </si>
  <si>
    <t>Evan</t>
  </si>
  <si>
    <t>Bayer</t>
  </si>
  <si>
    <t>Vikhil</t>
  </si>
  <si>
    <t>Nathan</t>
  </si>
  <si>
    <t>Thomas</t>
  </si>
  <si>
    <t>Dale</t>
  </si>
  <si>
    <t>Luke</t>
  </si>
  <si>
    <t>Darren</t>
  </si>
  <si>
    <t>Luca</t>
  </si>
  <si>
    <t>Julian</t>
  </si>
  <si>
    <t>Ben</t>
  </si>
  <si>
    <t>Brandon</t>
  </si>
  <si>
    <t>Aaron</t>
  </si>
  <si>
    <t>Sahil</t>
  </si>
  <si>
    <t>Christopher</t>
  </si>
  <si>
    <t>Scott</t>
  </si>
  <si>
    <t>Harry</t>
  </si>
  <si>
    <t>Jackson</t>
  </si>
  <si>
    <t>Blake</t>
  </si>
  <si>
    <t>Adam</t>
  </si>
  <si>
    <t>Mitchell</t>
  </si>
  <si>
    <t>Bradley</t>
  </si>
  <si>
    <t>Sami</t>
  </si>
  <si>
    <t>William</t>
  </si>
  <si>
    <t>Alex</t>
  </si>
  <si>
    <t>James</t>
  </si>
  <si>
    <t>Robert</t>
  </si>
  <si>
    <t>Vaashnal</t>
  </si>
  <si>
    <t>Daniel</t>
  </si>
  <si>
    <t>Stephen</t>
  </si>
  <si>
    <t>Benjamin</t>
  </si>
  <si>
    <t>Andrew</t>
  </si>
  <si>
    <t>Sahir</t>
  </si>
  <si>
    <t>Chris</t>
  </si>
  <si>
    <t>Steven</t>
  </si>
  <si>
    <t>Simon</t>
  </si>
  <si>
    <t>Shannon</t>
  </si>
  <si>
    <t>Jason</t>
  </si>
  <si>
    <t>Peter</t>
  </si>
  <si>
    <t>Tarin</t>
  </si>
  <si>
    <t>Ken</t>
  </si>
  <si>
    <t>David</t>
  </si>
  <si>
    <t>Phillip</t>
  </si>
  <si>
    <t>Brett</t>
  </si>
  <si>
    <t>Ashley</t>
  </si>
  <si>
    <t>Garrick</t>
  </si>
  <si>
    <t>Max</t>
  </si>
  <si>
    <t>Brent</t>
  </si>
  <si>
    <t>Steve</t>
  </si>
  <si>
    <t>Blair</t>
  </si>
  <si>
    <t>Travis</t>
  </si>
  <si>
    <t>Kunal</t>
  </si>
  <si>
    <t>Eric</t>
  </si>
  <si>
    <t>Grahame</t>
  </si>
  <si>
    <t>Ivan</t>
  </si>
  <si>
    <t>Anthony</t>
  </si>
  <si>
    <t>Toby</t>
  </si>
  <si>
    <t>Tony</t>
  </si>
  <si>
    <t>Jonathon</t>
  </si>
  <si>
    <t>Craig</t>
  </si>
  <si>
    <t>Wade</t>
  </si>
  <si>
    <t>Patrick</t>
  </si>
  <si>
    <t>Shadaab</t>
  </si>
  <si>
    <t>Victor</t>
  </si>
  <si>
    <t>Norm</t>
  </si>
  <si>
    <t>Brendan</t>
  </si>
  <si>
    <t>Clive</t>
  </si>
  <si>
    <t>Rodney</t>
  </si>
  <si>
    <t>Gene</t>
  </si>
  <si>
    <t>Tim</t>
  </si>
  <si>
    <t>Geoff</t>
  </si>
  <si>
    <t>Wayne</t>
  </si>
  <si>
    <t>Navin</t>
  </si>
  <si>
    <t>Ali</t>
  </si>
  <si>
    <t>Neil</t>
  </si>
  <si>
    <t>Adrian</t>
  </si>
  <si>
    <t>Dean</t>
  </si>
  <si>
    <t>Timothy</t>
  </si>
  <si>
    <t>Colin</t>
  </si>
  <si>
    <t>Charlie</t>
  </si>
  <si>
    <t>Jim</t>
  </si>
  <si>
    <t>Alan</t>
  </si>
  <si>
    <t>Gary</t>
  </si>
  <si>
    <t>Parag</t>
  </si>
  <si>
    <t>Ronnie</t>
  </si>
  <si>
    <t>Richard</t>
  </si>
  <si>
    <t>Jeff</t>
  </si>
  <si>
    <t>Joe</t>
  </si>
  <si>
    <t>Kevin</t>
  </si>
  <si>
    <t>Camile</t>
  </si>
  <si>
    <t>Gunaseelan</t>
  </si>
  <si>
    <t>Amit</t>
  </si>
  <si>
    <t>Rejnal</t>
  </si>
  <si>
    <t>Iain</t>
  </si>
  <si>
    <t>Jack</t>
  </si>
  <si>
    <t>Dragan</t>
  </si>
  <si>
    <t>Greg</t>
  </si>
  <si>
    <t>Leigh</t>
  </si>
  <si>
    <t>Kenny</t>
  </si>
  <si>
    <t>Mick</t>
  </si>
  <si>
    <t>Grant</t>
  </si>
  <si>
    <t>Sandy</t>
  </si>
  <si>
    <t>Yogesh</t>
  </si>
  <si>
    <t>Ray</t>
  </si>
  <si>
    <t>Dinu</t>
  </si>
  <si>
    <t>Shamal</t>
  </si>
  <si>
    <t>Basam</t>
  </si>
  <si>
    <t>Derek</t>
  </si>
  <si>
    <t>Shane</t>
  </si>
  <si>
    <t>Hefer</t>
  </si>
  <si>
    <t>Ron</t>
  </si>
  <si>
    <t>Neville</t>
  </si>
  <si>
    <t>Graeme</t>
  </si>
  <si>
    <t>Darryl</t>
  </si>
  <si>
    <t>John</t>
  </si>
  <si>
    <t>Rain</t>
  </si>
  <si>
    <t>Sh</t>
  </si>
  <si>
    <t>Marc</t>
  </si>
  <si>
    <t>Trent</t>
  </si>
  <si>
    <t>PJ</t>
  </si>
  <si>
    <t>Eli</t>
  </si>
  <si>
    <t>John Paul</t>
  </si>
  <si>
    <t>Nayzel</t>
  </si>
  <si>
    <t>Owen</t>
  </si>
  <si>
    <t>Yatheezan</t>
  </si>
  <si>
    <t>Ankit</t>
  </si>
  <si>
    <t>Diveshen</t>
  </si>
  <si>
    <t>Vasu</t>
  </si>
  <si>
    <t>Jacob</t>
  </si>
  <si>
    <t>Daren</t>
  </si>
  <si>
    <t>Dennis</t>
  </si>
  <si>
    <t>Jeffery</t>
  </si>
  <si>
    <t>Ashford</t>
  </si>
  <si>
    <t>Ted</t>
  </si>
  <si>
    <t>Schaudin</t>
  </si>
  <si>
    <t>Bateup</t>
  </si>
  <si>
    <t>Novneal</t>
  </si>
  <si>
    <t xml:space="preserve">Matt </t>
  </si>
  <si>
    <t>Trevor</t>
  </si>
  <si>
    <t>Jesse</t>
  </si>
  <si>
    <t>Hifa</t>
  </si>
  <si>
    <t>Rajesh</t>
  </si>
  <si>
    <t>Rowland</t>
  </si>
  <si>
    <t>Prashant</t>
  </si>
  <si>
    <t>Masood</t>
  </si>
  <si>
    <t>Arnob</t>
  </si>
  <si>
    <t>Thesokkumar</t>
  </si>
  <si>
    <t>Prasahanth</t>
  </si>
  <si>
    <t>Jamie</t>
  </si>
  <si>
    <t>Shehan</t>
  </si>
  <si>
    <t>Damian</t>
  </si>
  <si>
    <t>Choudhury</t>
  </si>
  <si>
    <t>Kyle</t>
  </si>
  <si>
    <t>Jayke</t>
  </si>
  <si>
    <t>Brock</t>
  </si>
  <si>
    <t>Joshua</t>
  </si>
  <si>
    <t>Amarjot</t>
  </si>
  <si>
    <t>Ahmed</t>
  </si>
  <si>
    <t>Alexander</t>
  </si>
  <si>
    <t>Corby</t>
  </si>
  <si>
    <t>Shadi</t>
  </si>
  <si>
    <t>Trisheel</t>
  </si>
  <si>
    <t>Andre</t>
  </si>
  <si>
    <t>Mushtaba</t>
  </si>
  <si>
    <t>Oscar</t>
  </si>
  <si>
    <t>Nathan J</t>
  </si>
  <si>
    <t>Ferguson (C grade)</t>
  </si>
  <si>
    <t>Rhys</t>
  </si>
  <si>
    <t>Corey</t>
  </si>
  <si>
    <t>Anish</t>
  </si>
  <si>
    <t>Pratik</t>
  </si>
  <si>
    <t>Jimmy</t>
  </si>
  <si>
    <t>Rahaul</t>
  </si>
  <si>
    <t>Dredge</t>
  </si>
  <si>
    <t>Sharoon</t>
  </si>
  <si>
    <t>Priythan</t>
  </si>
  <si>
    <t>Matt</t>
  </si>
  <si>
    <t>Adib</t>
  </si>
  <si>
    <t>Basheer</t>
  </si>
  <si>
    <t>Rupinder</t>
  </si>
  <si>
    <t>Srinivas</t>
  </si>
  <si>
    <t>Rajiv</t>
  </si>
  <si>
    <t>Chetan</t>
  </si>
  <si>
    <t>Sagar</t>
  </si>
  <si>
    <t>Hooper</t>
  </si>
  <si>
    <t>Adriaan</t>
  </si>
  <si>
    <t>Gabriel</t>
  </si>
  <si>
    <t>Senel</t>
  </si>
  <si>
    <t>Justin</t>
  </si>
  <si>
    <t>Chaudry</t>
  </si>
  <si>
    <t>Zohaib</t>
  </si>
  <si>
    <t>Zac</t>
  </si>
  <si>
    <t>Jordan</t>
  </si>
  <si>
    <t>Issac</t>
  </si>
  <si>
    <t>Ameesh</t>
  </si>
  <si>
    <t>Keith</t>
  </si>
  <si>
    <t>Tevin</t>
  </si>
  <si>
    <t>Dylan</t>
  </si>
  <si>
    <t>Troy</t>
  </si>
  <si>
    <t>Hussein</t>
  </si>
  <si>
    <t>Raymond</t>
  </si>
  <si>
    <t>Ronny</t>
  </si>
  <si>
    <t>Jagmohan</t>
  </si>
  <si>
    <t>Randeep</t>
  </si>
  <si>
    <t>Anurag</t>
  </si>
  <si>
    <t>Kayden</t>
  </si>
  <si>
    <t>Zachery</t>
  </si>
  <si>
    <t>Luke G</t>
  </si>
  <si>
    <t>8*</t>
  </si>
  <si>
    <t>18*</t>
  </si>
  <si>
    <t>Jarrod</t>
  </si>
  <si>
    <t>5*</t>
  </si>
  <si>
    <t>Marcius M</t>
  </si>
  <si>
    <t>Hamish</t>
  </si>
  <si>
    <t>20*</t>
  </si>
  <si>
    <t>Vineel</t>
  </si>
  <si>
    <t>1*</t>
  </si>
  <si>
    <t>Sadman</t>
  </si>
  <si>
    <t>Ethan D</t>
  </si>
  <si>
    <t>16*</t>
  </si>
  <si>
    <t>Zoe</t>
  </si>
  <si>
    <t>6*</t>
  </si>
  <si>
    <t>Omar</t>
  </si>
  <si>
    <t>Ossama</t>
  </si>
  <si>
    <t>Rodney W</t>
  </si>
  <si>
    <t>55*</t>
  </si>
  <si>
    <t>Lucas</t>
  </si>
  <si>
    <t>Alexander K</t>
  </si>
  <si>
    <t>Matthew G</t>
  </si>
  <si>
    <t>4*</t>
  </si>
  <si>
    <t>Salvatore</t>
  </si>
  <si>
    <t>53*</t>
  </si>
  <si>
    <t>101*</t>
  </si>
  <si>
    <t>100*</t>
  </si>
  <si>
    <t>Matthew L</t>
  </si>
  <si>
    <t>Joshua G</t>
  </si>
  <si>
    <t>Conor</t>
  </si>
  <si>
    <t>Chase M</t>
  </si>
  <si>
    <t>Hasnain</t>
  </si>
  <si>
    <t>Ryan P</t>
  </si>
  <si>
    <t>Liam</t>
  </si>
  <si>
    <t>Joshua L</t>
  </si>
  <si>
    <t>Frank R</t>
  </si>
  <si>
    <t>Fadih</t>
  </si>
  <si>
    <t>80*</t>
  </si>
  <si>
    <t>54*</t>
  </si>
  <si>
    <t>Daniel C</t>
  </si>
  <si>
    <t>Adam J</t>
  </si>
  <si>
    <t>67*</t>
  </si>
  <si>
    <t>Christopher J</t>
  </si>
  <si>
    <t>Aaron J</t>
  </si>
  <si>
    <t>Andrew S</t>
  </si>
  <si>
    <t>Harpreet</t>
  </si>
  <si>
    <t>98*</t>
  </si>
  <si>
    <t>Sam</t>
  </si>
  <si>
    <t>Mausuf</t>
  </si>
  <si>
    <t>Hassan</t>
  </si>
  <si>
    <t>Gadir</t>
  </si>
  <si>
    <t>Hillal</t>
  </si>
  <si>
    <t>Abraham</t>
  </si>
  <si>
    <t>50*</t>
  </si>
  <si>
    <t>Ead</t>
  </si>
  <si>
    <t>Hakam</t>
  </si>
  <si>
    <t>2*</t>
  </si>
  <si>
    <t>Ozem</t>
  </si>
  <si>
    <t>Asad</t>
  </si>
  <si>
    <t>Hakan</t>
  </si>
  <si>
    <t>Mateen</t>
  </si>
  <si>
    <t>106*</t>
  </si>
  <si>
    <t>Dwayne R</t>
  </si>
  <si>
    <t>Troy M</t>
  </si>
  <si>
    <t>152*</t>
  </si>
  <si>
    <t>124*</t>
  </si>
  <si>
    <t>Glen</t>
  </si>
  <si>
    <t>Guarin</t>
  </si>
  <si>
    <t>Mark A</t>
  </si>
  <si>
    <t>138*</t>
  </si>
  <si>
    <t>Kerrod L</t>
  </si>
  <si>
    <t>108*</t>
  </si>
  <si>
    <t>Neil J</t>
  </si>
  <si>
    <t>Scott A</t>
  </si>
  <si>
    <t>Bradley N</t>
  </si>
  <si>
    <t>Matthew J</t>
  </si>
  <si>
    <t>Craig D</t>
  </si>
  <si>
    <t>Ian A</t>
  </si>
  <si>
    <t>Ken M</t>
  </si>
  <si>
    <t>Lachlan</t>
  </si>
  <si>
    <t>7*</t>
  </si>
  <si>
    <t>57*</t>
  </si>
  <si>
    <t>Rutul</t>
  </si>
  <si>
    <t>Shivam</t>
  </si>
  <si>
    <t>Isaac</t>
  </si>
  <si>
    <t>Humad</t>
  </si>
  <si>
    <t>Bassem</t>
  </si>
  <si>
    <t>86*</t>
  </si>
  <si>
    <t>65*</t>
  </si>
  <si>
    <t>Stuart</t>
  </si>
  <si>
    <t>Fawaz A</t>
  </si>
  <si>
    <t>Faris</t>
  </si>
  <si>
    <t>Zahab</t>
  </si>
  <si>
    <t>Younis</t>
  </si>
  <si>
    <t>Prem</t>
  </si>
  <si>
    <t>Sandesh</t>
  </si>
  <si>
    <t>Ammar</t>
  </si>
  <si>
    <t>17*</t>
  </si>
  <si>
    <t>107*</t>
  </si>
  <si>
    <t>12*</t>
  </si>
  <si>
    <t>Upul K</t>
  </si>
  <si>
    <t>Jonathan P</t>
  </si>
  <si>
    <t>Joseph M</t>
  </si>
  <si>
    <t>Brian J</t>
  </si>
  <si>
    <t>19*</t>
  </si>
  <si>
    <t>0*</t>
  </si>
  <si>
    <t>Jamil</t>
  </si>
  <si>
    <t>Robin</t>
  </si>
  <si>
    <t>Parth</t>
  </si>
  <si>
    <t>Inderjit Sunny</t>
  </si>
  <si>
    <t>Jasper</t>
  </si>
  <si>
    <t>Ayden J</t>
  </si>
  <si>
    <t>33*</t>
  </si>
  <si>
    <t>64*</t>
  </si>
  <si>
    <t>Jack T</t>
  </si>
  <si>
    <t>David G</t>
  </si>
  <si>
    <t>Chris L</t>
  </si>
  <si>
    <t>87*</t>
  </si>
  <si>
    <t>Alex M</t>
  </si>
  <si>
    <t>Matthew B</t>
  </si>
  <si>
    <t xml:space="preserve">Jack  </t>
  </si>
  <si>
    <t>Quincy L</t>
  </si>
  <si>
    <t>Tyler S</t>
  </si>
  <si>
    <t>Mark J</t>
  </si>
  <si>
    <t>Jesse B</t>
  </si>
  <si>
    <t>FIELDING</t>
  </si>
  <si>
    <t>BBI since</t>
  </si>
  <si>
    <t>56*</t>
  </si>
  <si>
    <t>63*</t>
  </si>
  <si>
    <t>89*</t>
  </si>
  <si>
    <t>34*</t>
  </si>
  <si>
    <t>70*</t>
  </si>
  <si>
    <t>23*</t>
  </si>
  <si>
    <t>14*</t>
  </si>
  <si>
    <t>11*</t>
  </si>
  <si>
    <t>105*</t>
  </si>
  <si>
    <t>117*</t>
  </si>
  <si>
    <t>68*</t>
  </si>
  <si>
    <t>104*</t>
  </si>
  <si>
    <t>40*</t>
  </si>
  <si>
    <t>45*</t>
  </si>
  <si>
    <t>123*</t>
  </si>
  <si>
    <t>114*</t>
  </si>
  <si>
    <t>102*</t>
  </si>
  <si>
    <t>51*</t>
  </si>
  <si>
    <t>29*</t>
  </si>
  <si>
    <t>154*</t>
  </si>
  <si>
    <t>9*</t>
  </si>
  <si>
    <t>48*</t>
  </si>
  <si>
    <t>62*</t>
  </si>
  <si>
    <t>25*</t>
  </si>
  <si>
    <t>125*</t>
  </si>
  <si>
    <t>115*</t>
  </si>
  <si>
    <t>21*</t>
  </si>
  <si>
    <t>103*</t>
  </si>
  <si>
    <t>94*</t>
  </si>
  <si>
    <t>136*</t>
  </si>
  <si>
    <t>301*</t>
  </si>
  <si>
    <t>96*</t>
  </si>
  <si>
    <t>52*</t>
  </si>
  <si>
    <t>69*</t>
  </si>
  <si>
    <t>28*</t>
  </si>
  <si>
    <t>22*</t>
  </si>
  <si>
    <t>30*</t>
  </si>
  <si>
    <t>109*</t>
  </si>
  <si>
    <t>43*</t>
  </si>
  <si>
    <t>73*</t>
  </si>
  <si>
    <t>74*</t>
  </si>
  <si>
    <t>156*</t>
  </si>
  <si>
    <t>42*</t>
  </si>
  <si>
    <t>41*</t>
  </si>
  <si>
    <t>46*</t>
  </si>
  <si>
    <t>75*</t>
  </si>
  <si>
    <t>49*</t>
  </si>
  <si>
    <t>118*</t>
  </si>
  <si>
    <t>13*</t>
  </si>
  <si>
    <t>122*</t>
  </si>
  <si>
    <t>76*</t>
  </si>
  <si>
    <t>90*</t>
  </si>
  <si>
    <t>32*</t>
  </si>
  <si>
    <t>15*</t>
  </si>
  <si>
    <t>59*</t>
  </si>
  <si>
    <t>99*</t>
  </si>
  <si>
    <t>60*</t>
  </si>
  <si>
    <t>77*</t>
  </si>
  <si>
    <t>145*</t>
  </si>
  <si>
    <t>95*</t>
  </si>
  <si>
    <t>61*</t>
  </si>
  <si>
    <t>BATTING</t>
  </si>
  <si>
    <t>BOWLING</t>
  </si>
  <si>
    <t>Catches</t>
  </si>
  <si>
    <t>Abboud, George</t>
  </si>
  <si>
    <t>Absalom, Martin</t>
  </si>
  <si>
    <t>Absalom, Nathan</t>
  </si>
  <si>
    <t>Abu-Ali, Rain</t>
  </si>
  <si>
    <t>Adkins, Kyle</t>
  </si>
  <si>
    <t>Agius, Paul</t>
  </si>
  <si>
    <t>Ahad, G</t>
  </si>
  <si>
    <t>Ahad, J</t>
  </si>
  <si>
    <t>Ahmed, Jamil</t>
  </si>
  <si>
    <t>Ainsworth, Ben</t>
  </si>
  <si>
    <t>Akmacic, Ivan</t>
  </si>
  <si>
    <t>Akram, Mateen</t>
  </si>
  <si>
    <t>Alagarraja, Madanmohan</t>
  </si>
  <si>
    <t>Alambara, Prashant</t>
  </si>
  <si>
    <t>Al-chalouh, B</t>
  </si>
  <si>
    <t>Allemadine, Basam</t>
  </si>
  <si>
    <t>Allen, J</t>
  </si>
  <si>
    <t>Allen, S</t>
  </si>
  <si>
    <t>Amandel, R</t>
  </si>
  <si>
    <t>Amin, Masood</t>
  </si>
  <si>
    <t>Anderson, Brendan</t>
  </si>
  <si>
    <t>Andrew, A</t>
  </si>
  <si>
    <t>Andruskin, Neville</t>
  </si>
  <si>
    <t>Archer, J</t>
  </si>
  <si>
    <t>Atkin, Dale</t>
  </si>
  <si>
    <t>Auld, Colin</t>
  </si>
  <si>
    <t>Auld, Grant</t>
  </si>
  <si>
    <t>Auremi, Daniel</t>
  </si>
  <si>
    <t>Averillo, B</t>
  </si>
  <si>
    <t>Averillo, L</t>
  </si>
  <si>
    <t>Avery, Derek</t>
  </si>
  <si>
    <t>Aviet, Clive</t>
  </si>
  <si>
    <t>Aviet, J</t>
  </si>
  <si>
    <t>Aviet, Justin</t>
  </si>
  <si>
    <t>Avon, P</t>
  </si>
  <si>
    <t>Awad, Omar</t>
  </si>
  <si>
    <t>Awad, Ossama</t>
  </si>
  <si>
    <t>Bacon, Zachary</t>
  </si>
  <si>
    <t>Bailey, L</t>
  </si>
  <si>
    <t>Bailey, Neil</t>
  </si>
  <si>
    <t>Bainou, Chris</t>
  </si>
  <si>
    <t>Bainou, Joe</t>
  </si>
  <si>
    <t>Baker, Rodney</t>
  </si>
  <si>
    <t>Baker, Daniel</t>
  </si>
  <si>
    <t>Bala, Patrick</t>
  </si>
  <si>
    <t>Baldock, M</t>
  </si>
  <si>
    <t>Baldock, S</t>
  </si>
  <si>
    <t>Banks, D</t>
  </si>
  <si>
    <t>Barraket, L</t>
  </si>
  <si>
    <t>Bartlett, Jesse B</t>
  </si>
  <si>
    <t>Bartlett, Kevin</t>
  </si>
  <si>
    <t>Bartlett, Steven</t>
  </si>
  <si>
    <t>Bazelmans, Adriaan</t>
  </si>
  <si>
    <t>Bell, D</t>
  </si>
  <si>
    <t>Bhattacharjee, Arnob</t>
  </si>
  <si>
    <t>Bice, Zachary</t>
  </si>
  <si>
    <t>Biggs, Kayden</t>
  </si>
  <si>
    <t>Binns, Peter</t>
  </si>
  <si>
    <t>Bir, Sahir</t>
  </si>
  <si>
    <t>Birch, Jason</t>
  </si>
  <si>
    <t>Biscan, M</t>
  </si>
  <si>
    <t>Blackwell, A</t>
  </si>
  <si>
    <t>Bleeker, Martin</t>
  </si>
  <si>
    <t>Bordin, Andrew</t>
  </si>
  <si>
    <t>Botting, Wayne</t>
  </si>
  <si>
    <t>Bouchdan, J</t>
  </si>
  <si>
    <t>Bowden, Aaron</t>
  </si>
  <si>
    <t>Bowden, Patrick</t>
  </si>
  <si>
    <t>Bowen, M</t>
  </si>
  <si>
    <t>Bowers, C</t>
  </si>
  <si>
    <t>Boyle, B</t>
  </si>
  <si>
    <t>Boyle, W</t>
  </si>
  <si>
    <t>Brady, G</t>
  </si>
  <si>
    <t>Braiding, L</t>
  </si>
  <si>
    <t>Brar, G</t>
  </si>
  <si>
    <t>Bray, Oscar</t>
  </si>
  <si>
    <t>Braybon, Trevor</t>
  </si>
  <si>
    <t>Brewer, David</t>
  </si>
  <si>
    <t>Brincat, Robert</t>
  </si>
  <si>
    <t>Brooks, Jayke</t>
  </si>
  <si>
    <t>Broos, Ashley</t>
  </si>
  <si>
    <t>Brown, D</t>
  </si>
  <si>
    <t>Brown, J</t>
  </si>
  <si>
    <t>Brown, K</t>
  </si>
  <si>
    <t>Browning, D</t>
  </si>
  <si>
    <t>Bruce, Ryan</t>
  </si>
  <si>
    <t>Bryden, Alan</t>
  </si>
  <si>
    <t>Bryden, Luke</t>
  </si>
  <si>
    <t>Buckman, Mitchell</t>
  </si>
  <si>
    <t>Buckman, S</t>
  </si>
  <si>
    <t>Bugg, David</t>
  </si>
  <si>
    <t>Burgess, G</t>
  </si>
  <si>
    <t>Burke, Zachery</t>
  </si>
  <si>
    <t>Burnell, D</t>
  </si>
  <si>
    <t>Burnell, Nathan</t>
  </si>
  <si>
    <t>Burnell, Robert</t>
  </si>
  <si>
    <t>Burnell, Michael</t>
  </si>
  <si>
    <t>Burrows, D</t>
  </si>
  <si>
    <t>Burton, N</t>
  </si>
  <si>
    <t>Bushell, M</t>
  </si>
  <si>
    <t>Buttler, L</t>
  </si>
  <si>
    <t>Byles, T</t>
  </si>
  <si>
    <t>Byrnes, Matthew</t>
  </si>
  <si>
    <t>Callega, J</t>
  </si>
  <si>
    <t>Campion, J</t>
  </si>
  <si>
    <t>Cannuli, A</t>
  </si>
  <si>
    <t>Carey, Patrick</t>
  </si>
  <si>
    <t>Carling, Brock</t>
  </si>
  <si>
    <t>Carling, Luke G</t>
  </si>
  <si>
    <t>Carswell, Jeff</t>
  </si>
  <si>
    <t>Carusi, Luca</t>
  </si>
  <si>
    <t>Cassimaty, Anthony</t>
  </si>
  <si>
    <t>Chaker, A</t>
  </si>
  <si>
    <t>Chaker, B</t>
  </si>
  <si>
    <t>Chaker, M</t>
  </si>
  <si>
    <t>Chammas, Jason</t>
  </si>
  <si>
    <t>Chammas, John</t>
  </si>
  <si>
    <t>Chand, Vinal</t>
  </si>
  <si>
    <t>Chand, Vaashnal</t>
  </si>
  <si>
    <t>Chandra, V</t>
  </si>
  <si>
    <t>Chandra, Srinivas</t>
  </si>
  <si>
    <t>Channon, Ben</t>
  </si>
  <si>
    <t>Cheeseman, B</t>
  </si>
  <si>
    <t>Cheetham, P</t>
  </si>
  <si>
    <t>Cherry, B</t>
  </si>
  <si>
    <t>Cherry, R</t>
  </si>
  <si>
    <t>Chety, V</t>
  </si>
  <si>
    <t>Childs, Owen</t>
  </si>
  <si>
    <t>Clark, James</t>
  </si>
  <si>
    <t>Clarke, Matthew</t>
  </si>
  <si>
    <t>Cleghorn, Andrew</t>
  </si>
  <si>
    <t>Clogher, Dean</t>
  </si>
  <si>
    <t>Cocks, Luke</t>
  </si>
  <si>
    <t>Cocks, Rhys</t>
  </si>
  <si>
    <t>Cocks, Dwayne R</t>
  </si>
  <si>
    <t>Cocks, Tony</t>
  </si>
  <si>
    <t>Collen-Treasus, Jake</t>
  </si>
  <si>
    <t>Collier, Paul</t>
  </si>
  <si>
    <t>Collier, Daniel</t>
  </si>
  <si>
    <t>Collins, Gene</t>
  </si>
  <si>
    <t>Collins, Michael</t>
  </si>
  <si>
    <t>Collins, Daniel</t>
  </si>
  <si>
    <t>Collis, Rodney W</t>
  </si>
  <si>
    <t>Collogan, Keith</t>
  </si>
  <si>
    <t>Constantine, C</t>
  </si>
  <si>
    <t>Coombs, Andrew</t>
  </si>
  <si>
    <t>Coombs, Tim</t>
  </si>
  <si>
    <t>Copas, Harry</t>
  </si>
  <si>
    <t>Corbett, Nathan</t>
  </si>
  <si>
    <t>Corliss, R</t>
  </si>
  <si>
    <t>Couper, Shane</t>
  </si>
  <si>
    <t>Cox, Luke</t>
  </si>
  <si>
    <t>Coyle, Craig</t>
  </si>
  <si>
    <t>Crasto, C</t>
  </si>
  <si>
    <t>Crittenden, Corey</t>
  </si>
  <si>
    <t>Crittenden, Trent</t>
  </si>
  <si>
    <t>Croft, Trent</t>
  </si>
  <si>
    <t>Crouch, Daniel</t>
  </si>
  <si>
    <t>Cullican, Mick</t>
  </si>
  <si>
    <t>Da Cunha, Victor</t>
  </si>
  <si>
    <t>Daas, Trisheel</t>
  </si>
  <si>
    <t>Dalrymple, Jeffery</t>
  </si>
  <si>
    <t>Dalrymple, Robert</t>
  </si>
  <si>
    <t>Dalrymple, Shane</t>
  </si>
  <si>
    <t>D'Angelo, Gabriel</t>
  </si>
  <si>
    <t>Darwich, Zac</t>
  </si>
  <si>
    <t>Dawson, W</t>
  </si>
  <si>
    <t>Day, Kerrod L</t>
  </si>
  <si>
    <t>Day, Paul</t>
  </si>
  <si>
    <t>De Silva, Senel</t>
  </si>
  <si>
    <t>Deitz, Jason</t>
  </si>
  <si>
    <t>Deo, Rejnal</t>
  </si>
  <si>
    <t>Dern, Michael</t>
  </si>
  <si>
    <t>Devios, M</t>
  </si>
  <si>
    <t>Dewar, Conor</t>
  </si>
  <si>
    <t>Dezius, D</t>
  </si>
  <si>
    <t>Dibley, S</t>
  </si>
  <si>
    <t>DiMarko, M</t>
  </si>
  <si>
    <t>Dimeglio, C</t>
  </si>
  <si>
    <t>Dinham, Mark</t>
  </si>
  <si>
    <t>Dissanayake, Chavi</t>
  </si>
  <si>
    <t>Dixon, Ben</t>
  </si>
  <si>
    <t>Dixon, Geoff</t>
  </si>
  <si>
    <t>Doherty, Wayne</t>
  </si>
  <si>
    <t>Doig, David</t>
  </si>
  <si>
    <t>Donaldson, Andrew</t>
  </si>
  <si>
    <t>Donnelly, J</t>
  </si>
  <si>
    <t>Dopper, Alex</t>
  </si>
  <si>
    <t>Douglas, J</t>
  </si>
  <si>
    <t>Douglas, Ronnie</t>
  </si>
  <si>
    <t>Doyle, Craig</t>
  </si>
  <si>
    <t>Doyle, Scott</t>
  </si>
  <si>
    <t>Duffy, Anthony</t>
  </si>
  <si>
    <t>Dumazel, A</t>
  </si>
  <si>
    <t>Dunmall, Greg</t>
  </si>
  <si>
    <t>Eastwood, Anthony</t>
  </si>
  <si>
    <t>Eastwood,Daniel</t>
  </si>
  <si>
    <t>Edwards, Jason</t>
  </si>
  <si>
    <t>Eid, Fadih</t>
  </si>
  <si>
    <t>El Basha, A</t>
  </si>
  <si>
    <t>El Basha, G</t>
  </si>
  <si>
    <t>El Basha, N</t>
  </si>
  <si>
    <t>El Chami, Ahmed</t>
  </si>
  <si>
    <t>El Rashkidi, Elias</t>
  </si>
  <si>
    <t>Eldick, F</t>
  </si>
  <si>
    <t>Elias, Joshua</t>
  </si>
  <si>
    <t>Elliott, Anthony</t>
  </si>
  <si>
    <t>Elliott, M</t>
  </si>
  <si>
    <t>Elliott, Paul</t>
  </si>
  <si>
    <t>Elliott, James</t>
  </si>
  <si>
    <t>Elliott Watson, Z</t>
  </si>
  <si>
    <t>Elmore, G</t>
  </si>
  <si>
    <t>Enjeti, Navin</t>
  </si>
  <si>
    <t>Evennett, C</t>
  </si>
  <si>
    <t>Ewer, Brett</t>
  </si>
  <si>
    <t>Faber, Darren</t>
  </si>
  <si>
    <t>Faddoul, Adib</t>
  </si>
  <si>
    <t>Falvey, A</t>
  </si>
  <si>
    <t>Falvey, D</t>
  </si>
  <si>
    <t>Farah, Harry</t>
  </si>
  <si>
    <t>Faraj, Shadi</t>
  </si>
  <si>
    <t>Faras, Hussein</t>
  </si>
  <si>
    <t>Fares, Camile</t>
  </si>
  <si>
    <t>Fares, Bassem</t>
  </si>
  <si>
    <t>Farhat, Ali</t>
  </si>
  <si>
    <t>Farley, Ken</t>
  </si>
  <si>
    <t>Farrell, M</t>
  </si>
  <si>
    <t>Farrell, S</t>
  </si>
  <si>
    <t>Fay, Brad</t>
  </si>
  <si>
    <t>Fay, Patrick</t>
  </si>
  <si>
    <t>Fazeel, Fawaz A</t>
  </si>
  <si>
    <t>Ferguson, Brad</t>
  </si>
  <si>
    <t>Ferguson, Blake</t>
  </si>
  <si>
    <t>Ferguson, R</t>
  </si>
  <si>
    <t>Ferguson, Nathan J</t>
  </si>
  <si>
    <t>Fernandes, Neil J</t>
  </si>
  <si>
    <t>Finch, Michael</t>
  </si>
  <si>
    <t>Findlay, R</t>
  </si>
  <si>
    <t>Fitzgerald, Michael</t>
  </si>
  <si>
    <t>Fitzpatrick, Daniel</t>
  </si>
  <si>
    <t>Flannery, Anthony</t>
  </si>
  <si>
    <t>Fletcher, Daniel</t>
  </si>
  <si>
    <t>Flexman, Hefer</t>
  </si>
  <si>
    <t>Flexman, S</t>
  </si>
  <si>
    <t>Flexman, Sh</t>
  </si>
  <si>
    <t>Flexman, William</t>
  </si>
  <si>
    <t>Flexman, Hifa</t>
  </si>
  <si>
    <t>Fogarty, Daniel C</t>
  </si>
  <si>
    <t>Fogarty, Chris</t>
  </si>
  <si>
    <t>Forbes, Adrian</t>
  </si>
  <si>
    <t>Foster, Darren</t>
  </si>
  <si>
    <t>Foster, Jacob</t>
  </si>
  <si>
    <t>Fowler, S</t>
  </si>
  <si>
    <t>Franks, Dale</t>
  </si>
  <si>
    <t>Franks, Leigh</t>
  </si>
  <si>
    <t>Freeman, Scott</t>
  </si>
  <si>
    <t>Fucile, Cameron</t>
  </si>
  <si>
    <t>Fuller, M</t>
  </si>
  <si>
    <t>Fuller, S</t>
  </si>
  <si>
    <t>Fuller, W</t>
  </si>
  <si>
    <t>Galayini, C</t>
  </si>
  <si>
    <t>Galayini, Daniel</t>
  </si>
  <si>
    <t>Galayini, R</t>
  </si>
  <si>
    <t>Gardner, T</t>
  </si>
  <si>
    <t>Gatrick, J</t>
  </si>
  <si>
    <t>Gawthorn, Jack</t>
  </si>
  <si>
    <t>Gee, T</t>
  </si>
  <si>
    <t>Geercke, Scott</t>
  </si>
  <si>
    <t>Gengiah, Diveshen</t>
  </si>
  <si>
    <t>George, E</t>
  </si>
  <si>
    <t>Georges, Chris</t>
  </si>
  <si>
    <t>Georges, Basheer</t>
  </si>
  <si>
    <t>Georgey, R</t>
  </si>
  <si>
    <t>Gerwald, R</t>
  </si>
  <si>
    <t>Gibson, A</t>
  </si>
  <si>
    <t>Gibson, Steven</t>
  </si>
  <si>
    <t>Gilbert, Tim</t>
  </si>
  <si>
    <t>Glenn, Kyle</t>
  </si>
  <si>
    <t>Goff, R</t>
  </si>
  <si>
    <t>Gomes, Upul K</t>
  </si>
  <si>
    <t>Gonsalves, Ashley</t>
  </si>
  <si>
    <t>Gonsalves, L</t>
  </si>
  <si>
    <t>Gooch, Geoff</t>
  </si>
  <si>
    <t>Gooch, N</t>
  </si>
  <si>
    <t>Goodhew, Adam J</t>
  </si>
  <si>
    <t>Gordon, J</t>
  </si>
  <si>
    <t>Gordon, Travis</t>
  </si>
  <si>
    <t>Gounder, Patrick</t>
  </si>
  <si>
    <t>Grady, Anthony</t>
  </si>
  <si>
    <t>Grainger, P</t>
  </si>
  <si>
    <t>Grant, Sandy</t>
  </si>
  <si>
    <t>Grech, David G</t>
  </si>
  <si>
    <t>Grech, Michael</t>
  </si>
  <si>
    <t>Grech, Phil</t>
  </si>
  <si>
    <t>Green, C</t>
  </si>
  <si>
    <t>Green, Joseph M</t>
  </si>
  <si>
    <t>Green, Jonathan P</t>
  </si>
  <si>
    <t>Grew, Michael</t>
  </si>
  <si>
    <t>Grew, Robert</t>
  </si>
  <si>
    <t>Grewal, Harpreet</t>
  </si>
  <si>
    <t>Grgic, Marc</t>
  </si>
  <si>
    <t>Griffin, C</t>
  </si>
  <si>
    <t>Griffiths, Jarrod</t>
  </si>
  <si>
    <t>Grinyer, C</t>
  </si>
  <si>
    <t>Gunnion, Joseph</t>
  </si>
  <si>
    <t>Habib, F</t>
  </si>
  <si>
    <t>Habib, Phillip</t>
  </si>
  <si>
    <t>Hackenberg, Ben</t>
  </si>
  <si>
    <t>Hackenberg, Julian</t>
  </si>
  <si>
    <t>Hackett, Brendan</t>
  </si>
  <si>
    <t>Haddad, Norm</t>
  </si>
  <si>
    <t>Haesler, Dean</t>
  </si>
  <si>
    <t>Hagan, Dean</t>
  </si>
  <si>
    <t>Hage-Ali, H</t>
  </si>
  <si>
    <t>Hagiel, David</t>
  </si>
  <si>
    <t>Hales, Simon</t>
  </si>
  <si>
    <t>Hallak, Hassan</t>
  </si>
  <si>
    <t>Handebo, C</t>
  </si>
  <si>
    <t>Hando, Colin</t>
  </si>
  <si>
    <t>Harber, Geoff</t>
  </si>
  <si>
    <t>Hardman, J</t>
  </si>
  <si>
    <t>Harper, Chris</t>
  </si>
  <si>
    <t>Harper, K</t>
  </si>
  <si>
    <t>Harrington, Matthew B</t>
  </si>
  <si>
    <t>Harrington, Brian J</t>
  </si>
  <si>
    <t>Harvey, D</t>
  </si>
  <si>
    <t>Haselhoff, D</t>
  </si>
  <si>
    <t>Hassad, M</t>
  </si>
  <si>
    <t>Hatton, Timothy</t>
  </si>
  <si>
    <t>Haywood, C</t>
  </si>
  <si>
    <t>Heffernan, Dean</t>
  </si>
  <si>
    <t>Herger, Peter</t>
  </si>
  <si>
    <t>Herger, Timothy</t>
  </si>
  <si>
    <t>Hession, M</t>
  </si>
  <si>
    <t>Hession, Peter</t>
  </si>
  <si>
    <t>Hetherington, PJ</t>
  </si>
  <si>
    <t>Hetherington, P</t>
  </si>
  <si>
    <t>Higgins, Matthew</t>
  </si>
  <si>
    <t>Hilder, Matt</t>
  </si>
  <si>
    <t>Hinton, J</t>
  </si>
  <si>
    <t>Hodge, C</t>
  </si>
  <si>
    <t>Holdsworth, Jack</t>
  </si>
  <si>
    <t>Holland, Christopher</t>
  </si>
  <si>
    <t>Holmes, Ben</t>
  </si>
  <si>
    <t>Hones, Simon</t>
  </si>
  <si>
    <t>Hong, A</t>
  </si>
  <si>
    <t>Hopper, A</t>
  </si>
  <si>
    <t>Hornery, M</t>
  </si>
  <si>
    <t>Horsley, J</t>
  </si>
  <si>
    <t>Houlford, Iain</t>
  </si>
  <si>
    <t>Howard, Simon</t>
  </si>
  <si>
    <t>Howard, Ron</t>
  </si>
  <si>
    <t>Hudson, M</t>
  </si>
  <si>
    <t>Huegill, G</t>
  </si>
  <si>
    <t>Hulks, Andrew</t>
  </si>
  <si>
    <t>Hunter, P</t>
  </si>
  <si>
    <t>Hunter, Jesse</t>
  </si>
  <si>
    <t>Hurst, Graeme</t>
  </si>
  <si>
    <t>Hurst, Kenny</t>
  </si>
  <si>
    <t>Hutchinson, J</t>
  </si>
  <si>
    <t>Idrees, Faris</t>
  </si>
  <si>
    <t>Ings, Peter</t>
  </si>
  <si>
    <t>Isaac, Isaac</t>
  </si>
  <si>
    <t>Ison, Colin</t>
  </si>
  <si>
    <t>Iyer, Pradeep</t>
  </si>
  <si>
    <t>Jacob, Sharoon</t>
  </si>
  <si>
    <t>Jain, Ankit</t>
  </si>
  <si>
    <t>Jain, Anish</t>
  </si>
  <si>
    <t>Jalalaty, Andrew</t>
  </si>
  <si>
    <t>Jalalaty, B</t>
  </si>
  <si>
    <t>Jalalaty, Charlie</t>
  </si>
  <si>
    <t>Jalalaty, Robert</t>
  </si>
  <si>
    <t>Jalalaty, S</t>
  </si>
  <si>
    <t>Jalalaty, T</t>
  </si>
  <si>
    <t>Jamal Eddine, W</t>
  </si>
  <si>
    <t>James, P</t>
  </si>
  <si>
    <t>Jaun, K</t>
  </si>
  <si>
    <t>Jean Louis, Stephen</t>
  </si>
  <si>
    <t>Jeremiah, Jason</t>
  </si>
  <si>
    <t>Jeremiah, Neil</t>
  </si>
  <si>
    <t>Jeremiah, Richard</t>
  </si>
  <si>
    <t>Jiang, Rowland</t>
  </si>
  <si>
    <t>Jilwan, Michael</t>
  </si>
  <si>
    <t>Jivajirajah, Thesokkumar</t>
  </si>
  <si>
    <t>Johnson, I</t>
  </si>
  <si>
    <t>Johnson, Andrew</t>
  </si>
  <si>
    <t>Johnson, Michael</t>
  </si>
  <si>
    <t>Johnson, Raymond</t>
  </si>
  <si>
    <t>Johnson-Fili, Steven</t>
  </si>
  <si>
    <t>Johnston, Christian</t>
  </si>
  <si>
    <t>Jones, Alex</t>
  </si>
  <si>
    <t>Jones, Cameron</t>
  </si>
  <si>
    <t>Jones, Jack</t>
  </si>
  <si>
    <t>Jones, N</t>
  </si>
  <si>
    <t>Jones, Toby</t>
  </si>
  <si>
    <t>Joshi, Parth</t>
  </si>
  <si>
    <t>Kady, C</t>
  </si>
  <si>
    <t>Kady, J</t>
  </si>
  <si>
    <t>Kajijian, Elias</t>
  </si>
  <si>
    <t>Kalache, Gadir</t>
  </si>
  <si>
    <t>Kaloush, Michael</t>
  </si>
  <si>
    <t>Kandarges, D</t>
  </si>
  <si>
    <t>Kandarges, A</t>
  </si>
  <si>
    <t>Kara-Ali, Hillal</t>
  </si>
  <si>
    <t>Kassam, A</t>
  </si>
  <si>
    <t>Kassem, Abraham</t>
  </si>
  <si>
    <t>Kassem, Ead</t>
  </si>
  <si>
    <t>Kassem, Hakam</t>
  </si>
  <si>
    <t>Kassem, Ozem</t>
  </si>
  <si>
    <t>Katar, P</t>
  </si>
  <si>
    <t>Kaul, Ameesh</t>
  </si>
  <si>
    <t>Kavanagh, Jim</t>
  </si>
  <si>
    <t>Keeble, Martin</t>
  </si>
  <si>
    <t>Kefalas, P</t>
  </si>
  <si>
    <t>Keilard, K</t>
  </si>
  <si>
    <t>Kelley, Darren</t>
  </si>
  <si>
    <t>Kelly, A</t>
  </si>
  <si>
    <t>Kershaw, Jeff</t>
  </si>
  <si>
    <t>Khakhar, Rajiv</t>
  </si>
  <si>
    <t>Khan, Ammar</t>
  </si>
  <si>
    <t>Khatri, Pratik</t>
  </si>
  <si>
    <t>Khouri, J</t>
  </si>
  <si>
    <t>Khoury, V</t>
  </si>
  <si>
    <t>Kimes, J</t>
  </si>
  <si>
    <t>Kisna, A</t>
  </si>
  <si>
    <t>Kisna, Rodney</t>
  </si>
  <si>
    <t>Knight, J</t>
  </si>
  <si>
    <t>Kokoris, N</t>
  </si>
  <si>
    <t>Kolosakas, George</t>
  </si>
  <si>
    <t>Kumar, Novneal</t>
  </si>
  <si>
    <t>Kuschert, W</t>
  </si>
  <si>
    <t>La Rocca, Brandon</t>
  </si>
  <si>
    <t>Lagan, Tony</t>
  </si>
  <si>
    <t>Laha, J</t>
  </si>
  <si>
    <t>Laha, R</t>
  </si>
  <si>
    <t>Lahoud, Chris</t>
  </si>
  <si>
    <t>Laver, Michael</t>
  </si>
  <si>
    <t>Lawler, A</t>
  </si>
  <si>
    <t>Lawler, J</t>
  </si>
  <si>
    <t>Lawrence, T</t>
  </si>
  <si>
    <t>Lawson, A</t>
  </si>
  <si>
    <t>Leary, P</t>
  </si>
  <si>
    <t>Lewington, James</t>
  </si>
  <si>
    <t>Lewis, C</t>
  </si>
  <si>
    <t>Lewis, G</t>
  </si>
  <si>
    <t>Liendo, Aaron</t>
  </si>
  <si>
    <t>Lin, Lucas</t>
  </si>
  <si>
    <t>Liyanage, Tevin</t>
  </si>
  <si>
    <t>Lockyer, Mark</t>
  </si>
  <si>
    <t>Lofts, Liam</t>
  </si>
  <si>
    <t>Long, Gary</t>
  </si>
  <si>
    <t>Longstaff, Brett</t>
  </si>
  <si>
    <t>Loomes, David</t>
  </si>
  <si>
    <t>Lovegrove, M</t>
  </si>
  <si>
    <t>Lowery, S</t>
  </si>
  <si>
    <t>Luc, Steven</t>
  </si>
  <si>
    <t>Lutz, C</t>
  </si>
  <si>
    <t>Maaliki, O</t>
  </si>
  <si>
    <t>Maamer,Adam</t>
  </si>
  <si>
    <t>Maclean, Jacob</t>
  </si>
  <si>
    <t>Madden, G</t>
  </si>
  <si>
    <t>Mahendra, D</t>
  </si>
  <si>
    <t>Maher, M</t>
  </si>
  <si>
    <t>Majdis, Benjamin</t>
  </si>
  <si>
    <t>Majdis, Joe</t>
  </si>
  <si>
    <t>Makhail, Joshua</t>
  </si>
  <si>
    <t>Makhlouf, J</t>
  </si>
  <si>
    <t>Makhlouf, R</t>
  </si>
  <si>
    <t>Maloney, G</t>
  </si>
  <si>
    <t>Mamone, Jake</t>
  </si>
  <si>
    <t>Manche, G</t>
  </si>
  <si>
    <t>Manning, Ted</t>
  </si>
  <si>
    <t>Marks, P</t>
  </si>
  <si>
    <t>Maroun, Ronny</t>
  </si>
  <si>
    <t>Marsh, Adam</t>
  </si>
  <si>
    <t>Martin, B</t>
  </si>
  <si>
    <t>Martin, Alexander K</t>
  </si>
  <si>
    <t>Martin, Justin</t>
  </si>
  <si>
    <t>Martin, Joshua L</t>
  </si>
  <si>
    <t>Massoud, D</t>
  </si>
  <si>
    <t>Massoud, G</t>
  </si>
  <si>
    <t>Masters, J</t>
  </si>
  <si>
    <t>Matherson, Simon</t>
  </si>
  <si>
    <t>Mathis, G</t>
  </si>
  <si>
    <t>Mattar, Joseph</t>
  </si>
  <si>
    <t>Mazary, Mushtaba</t>
  </si>
  <si>
    <t>McCabe, C</t>
  </si>
  <si>
    <t>McCabe, Paul</t>
  </si>
  <si>
    <t>McDermid, Michael</t>
  </si>
  <si>
    <t>McDermid, Dylan</t>
  </si>
  <si>
    <t>McFarlane, J</t>
  </si>
  <si>
    <t>McGregor, Christian</t>
  </si>
  <si>
    <t>McGrory, S</t>
  </si>
  <si>
    <t>McGuire, Christopher</t>
  </si>
  <si>
    <t>McIntosh, Wayne</t>
  </si>
  <si>
    <t>McKenna, Matthew</t>
  </si>
  <si>
    <t>McKenna, Peter</t>
  </si>
  <si>
    <t>McMahon, Brendan</t>
  </si>
  <si>
    <t>McMasters, D</t>
  </si>
  <si>
    <t>McNamara, Troy M</t>
  </si>
  <si>
    <t>Mehndiratta, Vasu</t>
  </si>
  <si>
    <t>Mekari, Robert</t>
  </si>
  <si>
    <t>Menkara, Younis</t>
  </si>
  <si>
    <t>Merzi, D</t>
  </si>
  <si>
    <t>Micallef, Michael</t>
  </si>
  <si>
    <t>Micallef, D</t>
  </si>
  <si>
    <t>Michael, P</t>
  </si>
  <si>
    <t>Mildwater, Kenny</t>
  </si>
  <si>
    <t>Mildwater, Kenny Jnr</t>
  </si>
  <si>
    <t>Millington, Christian</t>
  </si>
  <si>
    <t>Mills, M</t>
  </si>
  <si>
    <t>Milne, Daren</t>
  </si>
  <si>
    <t>Milne, L</t>
  </si>
  <si>
    <t>Mineo, Matthew L</t>
  </si>
  <si>
    <t>Missen, Wayne</t>
  </si>
  <si>
    <t>Mizzi, J</t>
  </si>
  <si>
    <t>Moffit, J</t>
  </si>
  <si>
    <t>Mohan, G</t>
  </si>
  <si>
    <t>Monohan, A</t>
  </si>
  <si>
    <t xml:space="preserve">Moore, Christopher J </t>
  </si>
  <si>
    <t>Morgan, Chase M</t>
  </si>
  <si>
    <t>Morkos, J</t>
  </si>
  <si>
    <t>Morley, A</t>
  </si>
  <si>
    <t>Morris, Aaron J</t>
  </si>
  <si>
    <t>Moses, Alexander</t>
  </si>
  <si>
    <t>Moses, Marcius M</t>
  </si>
  <si>
    <t>Moss, Alan</t>
  </si>
  <si>
    <t>Moussa, Andre</t>
  </si>
  <si>
    <t>Mrish, Matthew G</t>
  </si>
  <si>
    <t>Muhammad, Hasnain</t>
  </si>
  <si>
    <t>Mulcahy, Ashley</t>
  </si>
  <si>
    <t>Mulcahy, Garrick</t>
  </si>
  <si>
    <t>Mulcahy, Greg</t>
  </si>
  <si>
    <t>Mulcahy, Max</t>
  </si>
  <si>
    <t>Mulcahy, Shannon</t>
  </si>
  <si>
    <t>Mumford, Dennis</t>
  </si>
  <si>
    <t>Mumford, Eli</t>
  </si>
  <si>
    <t>Munro, Patrick</t>
  </si>
  <si>
    <t>Muscat, J</t>
  </si>
  <si>
    <t>Muscat, S</t>
  </si>
  <si>
    <t>Myles, D</t>
  </si>
  <si>
    <t>Naeem, Humad</t>
  </si>
  <si>
    <t>Najdek, David</t>
  </si>
  <si>
    <t>Nashar, Jacob</t>
  </si>
  <si>
    <t>Nassif, Jimmy</t>
  </si>
  <si>
    <t>Nazary, M</t>
  </si>
  <si>
    <t>Nazary, A</t>
  </si>
  <si>
    <t>Neil, Jason</t>
  </si>
  <si>
    <t>Nelson, Joseph</t>
  </si>
  <si>
    <t>Neupane, Sam</t>
  </si>
  <si>
    <t>Nguyen, C</t>
  </si>
  <si>
    <t>Nguyen, D</t>
  </si>
  <si>
    <t>Nguyen, T</t>
  </si>
  <si>
    <t>Nguyen, Peter</t>
  </si>
  <si>
    <t>Nicholas, Scott A</t>
  </si>
  <si>
    <t>Nicholls, Darren</t>
  </si>
  <si>
    <t>Nickl, Mark</t>
  </si>
  <si>
    <t>Norman, T</t>
  </si>
  <si>
    <t>Norris, Adam</t>
  </si>
  <si>
    <t>Norris, Jason</t>
  </si>
  <si>
    <t>Norris, M</t>
  </si>
  <si>
    <t>Norris, Nathan</t>
  </si>
  <si>
    <t>Norris, Peter</t>
  </si>
  <si>
    <t>Norris, Stephen</t>
  </si>
  <si>
    <t>Norvill, A</t>
  </si>
  <si>
    <t>Nyguen, M</t>
  </si>
  <si>
    <t>O'Neill, Martin</t>
  </si>
  <si>
    <t>O'Brein, G</t>
  </si>
  <si>
    <t>O'Brien, D</t>
  </si>
  <si>
    <t>O'Brien, P</t>
  </si>
  <si>
    <t>O'Connor, G</t>
  </si>
  <si>
    <t>O'Donoghue, G</t>
  </si>
  <si>
    <t>Olde, Robert</t>
  </si>
  <si>
    <t>O'Loughlin, Michael</t>
  </si>
  <si>
    <t>Olsen, Matthew</t>
  </si>
  <si>
    <t>O'Neill, Tyler S</t>
  </si>
  <si>
    <t>Padget, Gary</t>
  </si>
  <si>
    <t>Palmer, Andrew</t>
  </si>
  <si>
    <t>Palmer, Richard</t>
  </si>
  <si>
    <t>Palmer, Troy</t>
  </si>
  <si>
    <t>Palmer, Dean</t>
  </si>
  <si>
    <t>Pankiw, Peter</t>
  </si>
  <si>
    <t>Pant, Prem</t>
  </si>
  <si>
    <t>Paramanathan, Prasahanth</t>
  </si>
  <si>
    <t>Paris, Simon</t>
  </si>
  <si>
    <t>Parkee, S</t>
  </si>
  <si>
    <t>Patel, Rutul</t>
  </si>
  <si>
    <t>Paterson-Hill, Mark J</t>
  </si>
  <si>
    <t>Patterson, Mitchell</t>
  </si>
  <si>
    <t>Paul, Dinu</t>
  </si>
  <si>
    <t>Paul, Shamal</t>
  </si>
  <si>
    <t>Pearse, Glen</t>
  </si>
  <si>
    <t>Pedlow, A</t>
  </si>
  <si>
    <t>Pedlow, M</t>
  </si>
  <si>
    <t>Pemble, Issac</t>
  </si>
  <si>
    <t>Pepper, S</t>
  </si>
  <si>
    <t>Perrot, W</t>
  </si>
  <si>
    <t>Perry, A</t>
  </si>
  <si>
    <t>Peters, Brent</t>
  </si>
  <si>
    <t>Peters, Neil</t>
  </si>
  <si>
    <t>Peters, Steve</t>
  </si>
  <si>
    <t>Phillips, Blair</t>
  </si>
  <si>
    <t>Pickering, T</t>
  </si>
  <si>
    <t>Pike, P</t>
  </si>
  <si>
    <t>Pike, Daniel</t>
  </si>
  <si>
    <t>Pillay, Richard</t>
  </si>
  <si>
    <t>Pinkerton, T</t>
  </si>
  <si>
    <t>Piskulich, Tarin</t>
  </si>
  <si>
    <t>Pitt, Alex</t>
  </si>
  <si>
    <t>Pitt, Evan</t>
  </si>
  <si>
    <t>Pitt, Frank R</t>
  </si>
  <si>
    <t>Pitura, A</t>
  </si>
  <si>
    <t>Pollard, David</t>
  </si>
  <si>
    <t>Pope, L</t>
  </si>
  <si>
    <t>Pope, M</t>
  </si>
  <si>
    <t>Porter, B</t>
  </si>
  <si>
    <t>Pottinger, A</t>
  </si>
  <si>
    <t>Powani, Parag</t>
  </si>
  <si>
    <t>Poyner, Travis</t>
  </si>
  <si>
    <t>Praphakharan, Priythan</t>
  </si>
  <si>
    <t>Prasad, Kunal</t>
  </si>
  <si>
    <t>Prasad, Rahaul</t>
  </si>
  <si>
    <t>Prasad, Hamish</t>
  </si>
  <si>
    <t>Prasad, Jason</t>
  </si>
  <si>
    <t>Preston, Jamie</t>
  </si>
  <si>
    <t>Prevost, Wayne</t>
  </si>
  <si>
    <t>Provins, H</t>
  </si>
  <si>
    <t>Puglisi, M</t>
  </si>
  <si>
    <t>Purdon, M</t>
  </si>
  <si>
    <t>Puria, Rupinder</t>
  </si>
  <si>
    <t>Given</t>
  </si>
  <si>
    <t>Quin, G</t>
  </si>
  <si>
    <t>Raad, J</t>
  </si>
  <si>
    <t>Raanear, Rajesh</t>
  </si>
  <si>
    <t>Raj, N</t>
  </si>
  <si>
    <t>Rajakumar, Shehan</t>
  </si>
  <si>
    <t>Ramdev, Amit</t>
  </si>
  <si>
    <t>Rana, Mausuf</t>
  </si>
  <si>
    <t>Rao, Sahil</t>
  </si>
  <si>
    <t>Rashid, Bayer</t>
  </si>
  <si>
    <t>Rathbone, M</t>
  </si>
  <si>
    <t>Ratnayake, S</t>
  </si>
  <si>
    <t>Reddy, Yogesh</t>
  </si>
  <si>
    <t>Reeves, S</t>
  </si>
  <si>
    <t>Reid, Mark</t>
  </si>
  <si>
    <t>Repaka, Vineel</t>
  </si>
  <si>
    <t>Reynen, Mitchell</t>
  </si>
  <si>
    <t>Richardson, Aaron</t>
  </si>
  <si>
    <t>Ridgewell, C</t>
  </si>
  <si>
    <t>Rigley, C</t>
  </si>
  <si>
    <t>Rivet, Mark</t>
  </si>
  <si>
    <t>Roberts, M</t>
  </si>
  <si>
    <t>Robertson, Andrew S</t>
  </si>
  <si>
    <t>Robertson, Bradley N</t>
  </si>
  <si>
    <t>Robertson, Chris L</t>
  </si>
  <si>
    <t>Robertson, David</t>
  </si>
  <si>
    <t>Robertson, Joshua</t>
  </si>
  <si>
    <t>Roddom, J</t>
  </si>
  <si>
    <t>Rodgers, B</t>
  </si>
  <si>
    <t>Rogers, D</t>
  </si>
  <si>
    <t>Romeo, Joseph</t>
  </si>
  <si>
    <t>Ross, Jordan</t>
  </si>
  <si>
    <t>Ruscio, J</t>
  </si>
  <si>
    <t>Rush, P</t>
  </si>
  <si>
    <t>Ruspandani, Alexander</t>
  </si>
  <si>
    <t>Russell, Adam</t>
  </si>
  <si>
    <t>Russell, B</t>
  </si>
  <si>
    <t>Russell, P</t>
  </si>
  <si>
    <t>Ryan, Kevin</t>
  </si>
  <si>
    <t>Ryan, Stephen</t>
  </si>
  <si>
    <t>Ryan, Mark</t>
  </si>
  <si>
    <t>Ryan, Joshua G</t>
  </si>
  <si>
    <t>Saad, John Paul</t>
  </si>
  <si>
    <t>Sabir, Choudhury</t>
  </si>
  <si>
    <t>Sabra, M</t>
  </si>
  <si>
    <t>Sabra, T</t>
  </si>
  <si>
    <t>Sahib, Faisal</t>
  </si>
  <si>
    <t>Sahib, Fawaz</t>
  </si>
  <si>
    <t>Sakib, Sadman</t>
  </si>
  <si>
    <t>Salim, Nayzel</t>
  </si>
  <si>
    <t>Samarasinghe, Michael</t>
  </si>
  <si>
    <t>Sandanam, Stephen</t>
  </si>
  <si>
    <t>Saraya, Asad</t>
  </si>
  <si>
    <t>Sarin, Sagar</t>
  </si>
  <si>
    <t>Sarnacki, Matthew J</t>
  </si>
  <si>
    <t>Scaf, S</t>
  </si>
  <si>
    <t>Scattergood, J</t>
  </si>
  <si>
    <t>Schaudin, Alan</t>
  </si>
  <si>
    <t>Schneider, G</t>
  </si>
  <si>
    <t>Schofield, Craig D</t>
  </si>
  <si>
    <t>Schokman, Damian</t>
  </si>
  <si>
    <t>Scott-Bell, Ryan</t>
  </si>
  <si>
    <t>Seevaratnam, Yatheezan</t>
  </si>
  <si>
    <t>Seneviratne, Ramesh</t>
  </si>
  <si>
    <t>Senior, T</t>
  </si>
  <si>
    <t>Seth, Shivam</t>
  </si>
  <si>
    <t>Sfar, S</t>
  </si>
  <si>
    <t>Sharma, A</t>
  </si>
  <si>
    <t>Sharp, Aaron J</t>
  </si>
  <si>
    <t>Sharp, J</t>
  </si>
  <si>
    <t>Shaw, Adrian</t>
  </si>
  <si>
    <t>Shephard, Jack T</t>
  </si>
  <si>
    <t>Sherwood, S</t>
  </si>
  <si>
    <t>Shridhar, D</t>
  </si>
  <si>
    <t>Shukla, Chetan</t>
  </si>
  <si>
    <t>Sidhu, Ronnie</t>
  </si>
  <si>
    <t>Sievwright, Richard</t>
  </si>
  <si>
    <t>Simpson, J</t>
  </si>
  <si>
    <t>Singh, J</t>
  </si>
  <si>
    <t>Singh, N</t>
  </si>
  <si>
    <t>Singh, Vikhil</t>
  </si>
  <si>
    <t>Singh, Amarjot</t>
  </si>
  <si>
    <t>Singh, Jagmohan</t>
  </si>
  <si>
    <t>Singh, Randeep</t>
  </si>
  <si>
    <t>Singh, Inderjit Sunny</t>
  </si>
  <si>
    <t>Singh, Jasper</t>
  </si>
  <si>
    <t>Single, Mark</t>
  </si>
  <si>
    <t>Singleton, Wade</t>
  </si>
  <si>
    <t>Sithamraju, S</t>
  </si>
  <si>
    <t>Skaf, Sami</t>
  </si>
  <si>
    <t>Skaf, Shadi</t>
  </si>
  <si>
    <t>Skinner, Ethan D</t>
  </si>
  <si>
    <t>Slavin, S</t>
  </si>
  <si>
    <t>Sleiman, Luke</t>
  </si>
  <si>
    <t>Smith, A</t>
  </si>
  <si>
    <t>Smith, B</t>
  </si>
  <si>
    <t>Smith, Barry</t>
  </si>
  <si>
    <t>Smith, Greg</t>
  </si>
  <si>
    <t>Sneesby, M</t>
  </si>
  <si>
    <t>Sobti, Anurag</t>
  </si>
  <si>
    <t>Somseri, J</t>
  </si>
  <si>
    <t>Sonter, Jason</t>
  </si>
  <si>
    <t>Spring, R</t>
  </si>
  <si>
    <t>Stead, M</t>
  </si>
  <si>
    <t>Steadman, M</t>
  </si>
  <si>
    <t>Steadman, D</t>
  </si>
  <si>
    <t>Stephens, B</t>
  </si>
  <si>
    <t>Stephenson, Dean</t>
  </si>
  <si>
    <t>Stevens, B</t>
  </si>
  <si>
    <t>Stone, B</t>
  </si>
  <si>
    <t>Strogylos, A</t>
  </si>
  <si>
    <t>Subedi, Sandesh</t>
  </si>
  <si>
    <t>Sud, P</t>
  </si>
  <si>
    <t>Summers, Tim</t>
  </si>
  <si>
    <t>Tanios, Andrew</t>
  </si>
  <si>
    <t>Tanios, George</t>
  </si>
  <si>
    <t>Tarref, T</t>
  </si>
  <si>
    <t>Taylor, A</t>
  </si>
  <si>
    <t>Taylor, Mark</t>
  </si>
  <si>
    <t>Tchier, N</t>
  </si>
  <si>
    <t>Tesoriero, Guarin</t>
  </si>
  <si>
    <t>Tester, Lachlan</t>
  </si>
  <si>
    <t>Thangaraj, Gunaseelan</t>
  </si>
  <si>
    <t>Thomas, Matthew</t>
  </si>
  <si>
    <t>Thompson, M</t>
  </si>
  <si>
    <t>Thompson, Steven</t>
  </si>
  <si>
    <t>Thompson, Bradley</t>
  </si>
  <si>
    <t>Thomson, P</t>
  </si>
  <si>
    <t>Thurgate, C</t>
  </si>
  <si>
    <t>Titterton, Quincy L</t>
  </si>
  <si>
    <t>Titterton, Alex M</t>
  </si>
  <si>
    <t>Titterton, Gary</t>
  </si>
  <si>
    <t>T'Leige, M</t>
  </si>
  <si>
    <t>Tohme, E</t>
  </si>
  <si>
    <t>Tudman, B</t>
  </si>
  <si>
    <t>Turano, Salvatore</t>
  </si>
  <si>
    <t>Turner, S</t>
  </si>
  <si>
    <t>Turner, Thomas</t>
  </si>
  <si>
    <t>Turner, Zoe</t>
  </si>
  <si>
    <t>Twaddell, L</t>
  </si>
  <si>
    <t>Tye, Luke</t>
  </si>
  <si>
    <t>Usher, Ryan P</t>
  </si>
  <si>
    <t>Usher, Craig</t>
  </si>
  <si>
    <t>Vanderdraay, Scott</t>
  </si>
  <si>
    <t>Vasilou, Harry</t>
  </si>
  <si>
    <t>Vatner, Michael</t>
  </si>
  <si>
    <t>Vaughan, D</t>
  </si>
  <si>
    <t>Vaughan, N</t>
  </si>
  <si>
    <t>Vella, Alex</t>
  </si>
  <si>
    <t>Verity, A</t>
  </si>
  <si>
    <t>Verity, Darryl</t>
  </si>
  <si>
    <t>Verity, Steven</t>
  </si>
  <si>
    <t>Vidler, Luke</t>
  </si>
  <si>
    <t>Vile, Benjamin</t>
  </si>
  <si>
    <t>Vlaski, Dragan</t>
  </si>
  <si>
    <t>Wahid, Shadaab</t>
  </si>
  <si>
    <t>Wakeford, Alan</t>
  </si>
  <si>
    <t>Walker, Andrew</t>
  </si>
  <si>
    <t>Walker, Nathan</t>
  </si>
  <si>
    <t>Walker, Scott</t>
  </si>
  <si>
    <t>Wallace, John</t>
  </si>
  <si>
    <t>Walters, John</t>
  </si>
  <si>
    <t>Warburton, Andrew</t>
  </si>
  <si>
    <t>Warwick, Ian A</t>
  </si>
  <si>
    <t>Warwick, M</t>
  </si>
  <si>
    <t>Weaver, Ken M</t>
  </si>
  <si>
    <t>Wells, P</t>
  </si>
  <si>
    <t>White, A</t>
  </si>
  <si>
    <t>White, B</t>
  </si>
  <si>
    <t>White, Craig</t>
  </si>
  <si>
    <t>White, Dennis</t>
  </si>
  <si>
    <t>White, William</t>
  </si>
  <si>
    <t>Wiggins, Paul</t>
  </si>
  <si>
    <t>Wijesurendra, Shehan</t>
  </si>
  <si>
    <t>Wilcox, Aaron</t>
  </si>
  <si>
    <t>Williams, H</t>
  </si>
  <si>
    <t>Williams, J</t>
  </si>
  <si>
    <t>Williams, L</t>
  </si>
  <si>
    <t>Williams, N</t>
  </si>
  <si>
    <t>Williams, Ray</t>
  </si>
  <si>
    <t>Willick, Corby</t>
  </si>
  <si>
    <t>Willis, Ben</t>
  </si>
  <si>
    <t>Willis, Matthew</t>
  </si>
  <si>
    <t>Wilson, B</t>
  </si>
  <si>
    <t>Wilson, Grahame</t>
  </si>
  <si>
    <t>Wilson, Paul</t>
  </si>
  <si>
    <t>Wilson, Phil</t>
  </si>
  <si>
    <t>Winchester, Eric</t>
  </si>
  <si>
    <t>Windred, S</t>
  </si>
  <si>
    <t>Wonson, James</t>
  </si>
  <si>
    <t>Wood, B</t>
  </si>
  <si>
    <t>Wood, Mark A</t>
  </si>
  <si>
    <t>Woods, L</t>
  </si>
  <si>
    <t>Woods, P</t>
  </si>
  <si>
    <t>Wright, D</t>
  </si>
  <si>
    <t>Wright, Jonathon</t>
  </si>
  <si>
    <t>Wright, Michael</t>
  </si>
  <si>
    <t>Wyatt, Cameron</t>
  </si>
  <si>
    <t>Yammine, Joseph</t>
  </si>
  <si>
    <t>Yarad, Jonathon</t>
  </si>
  <si>
    <t>Yazici, Hakan</t>
  </si>
  <si>
    <t>Yearsley, D</t>
  </si>
  <si>
    <t>Younan, J</t>
  </si>
  <si>
    <t>Younan, Robert</t>
  </si>
  <si>
    <t>Zabellero, Mark</t>
  </si>
  <si>
    <t>Zahra, Ayden J</t>
  </si>
  <si>
    <t>Zajac, Luke</t>
  </si>
  <si>
    <t>Zammit, C</t>
  </si>
  <si>
    <t>2013/14</t>
  </si>
  <si>
    <t>MyCricket</t>
  </si>
  <si>
    <t>ID:</t>
  </si>
  <si>
    <t>Abraham, James</t>
  </si>
  <si>
    <t>Adhikari, Ramesh</t>
  </si>
  <si>
    <t>Ahire, Amrutkiran M</t>
  </si>
  <si>
    <t>Alexander, Robin D</t>
  </si>
  <si>
    <t>Anand, Shrey</t>
  </si>
  <si>
    <t>Mahmood, Zahab Z</t>
  </si>
  <si>
    <t>Mann, Balkaran S</t>
  </si>
  <si>
    <t>Morgan, Jeff</t>
  </si>
  <si>
    <t>Morgan, Brandon J</t>
  </si>
  <si>
    <t>Fernando, Poorna P</t>
  </si>
  <si>
    <t>Nasr, Joseph</t>
  </si>
  <si>
    <t>Pham, Peter</t>
  </si>
  <si>
    <t>Rao, Abhinav M</t>
  </si>
  <si>
    <t>Ferguson, Jackson H</t>
  </si>
  <si>
    <t>Bilotta, Sam</t>
  </si>
  <si>
    <t>Koleda, Andrew</t>
  </si>
  <si>
    <t>Rao, Vaish M</t>
  </si>
  <si>
    <t>Dixon, Matthew J</t>
  </si>
  <si>
    <t>Harris, Tim</t>
  </si>
  <si>
    <t>Schofield, Marc</t>
  </si>
  <si>
    <t>Singh, Abhiraj</t>
  </si>
  <si>
    <t>Nasr, Reshar</t>
  </si>
  <si>
    <t>Roper, Jon</t>
  </si>
  <si>
    <t>Wilson, David G</t>
  </si>
  <si>
    <t>Lowry, Scott A</t>
  </si>
  <si>
    <t>El Mahmoud, Mahamad</t>
  </si>
  <si>
    <t>Hackenberg, Nicholas O</t>
  </si>
  <si>
    <t>Thompson, Alex J</t>
  </si>
  <si>
    <t>Chin, Joshua</t>
  </si>
  <si>
    <t>Karam, Steve G</t>
  </si>
  <si>
    <t>Karam, Anthony J</t>
  </si>
  <si>
    <t>Kannampuzha, Vipin J</t>
  </si>
  <si>
    <t>Gandha, Sumeet</t>
  </si>
  <si>
    <t>Indrele, Clint</t>
  </si>
  <si>
    <t>Kakkar, Tanuj</t>
  </si>
  <si>
    <t>Nallarathi, Gavin</t>
  </si>
  <si>
    <t>Matthew, Steve</t>
  </si>
  <si>
    <t>Ang, Martin B</t>
  </si>
  <si>
    <t>Blom, Dylan J</t>
  </si>
  <si>
    <t>Freney, Peter V</t>
  </si>
  <si>
    <t>Jensen, Stuart M</t>
  </si>
  <si>
    <t>Dole, Ameen</t>
  </si>
  <si>
    <t>Turner, Aidan</t>
  </si>
  <si>
    <t>Aidan</t>
  </si>
  <si>
    <t>Stumpings</t>
  </si>
  <si>
    <t>Duggal, Vishal</t>
  </si>
  <si>
    <t>Samarasekera, Ushab Kusal</t>
  </si>
  <si>
    <t>3*</t>
  </si>
  <si>
    <t>144*</t>
  </si>
  <si>
    <t>71*</t>
  </si>
  <si>
    <t>128*</t>
  </si>
  <si>
    <t>2/33</t>
  </si>
  <si>
    <t>1/4</t>
  </si>
  <si>
    <t>5/10</t>
  </si>
  <si>
    <t>2/3</t>
  </si>
  <si>
    <t>2/2</t>
  </si>
  <si>
    <t>2/8</t>
  </si>
  <si>
    <t>4/60</t>
  </si>
  <si>
    <t>3/17</t>
  </si>
  <si>
    <t>5/26</t>
  </si>
  <si>
    <t>1/36</t>
  </si>
  <si>
    <t>5/48</t>
  </si>
  <si>
    <t>5/21</t>
  </si>
  <si>
    <t>2/18</t>
  </si>
  <si>
    <t>3/42</t>
  </si>
  <si>
    <t>0/1</t>
  </si>
  <si>
    <t>1/10</t>
  </si>
  <si>
    <t>5/14</t>
  </si>
  <si>
    <t>1/0</t>
  </si>
  <si>
    <t>0/10</t>
  </si>
  <si>
    <t>3/26</t>
  </si>
  <si>
    <t>2/19</t>
  </si>
  <si>
    <t>0/14</t>
  </si>
  <si>
    <t>3/25</t>
  </si>
  <si>
    <t>5/33</t>
  </si>
  <si>
    <t>3/110</t>
  </si>
  <si>
    <t>7/15</t>
  </si>
  <si>
    <t>4/22</t>
  </si>
  <si>
    <t>4/2</t>
  </si>
  <si>
    <t>3/69</t>
  </si>
  <si>
    <t>1/3</t>
  </si>
  <si>
    <t>4/19</t>
  </si>
  <si>
    <t>0/16</t>
  </si>
  <si>
    <t>0/3</t>
  </si>
  <si>
    <t>9/35</t>
  </si>
  <si>
    <t>0/18</t>
  </si>
  <si>
    <t>2/28</t>
  </si>
  <si>
    <t>1/8</t>
  </si>
  <si>
    <t>4/6</t>
  </si>
  <si>
    <t>3/51</t>
  </si>
  <si>
    <t>3/38</t>
  </si>
  <si>
    <t>4/25</t>
  </si>
  <si>
    <t>2/4</t>
  </si>
  <si>
    <t>2/6</t>
  </si>
  <si>
    <t>Oliveira, John M</t>
  </si>
  <si>
    <t>Deguara, Charlie</t>
  </si>
  <si>
    <t>Vella, Curtis</t>
  </si>
  <si>
    <t>Shahmatov, Greg</t>
  </si>
  <si>
    <t>Kelleher, Daniel M</t>
  </si>
  <si>
    <t>Eisenhuth, Jacob D</t>
  </si>
  <si>
    <t>Khan, Muizz</t>
  </si>
  <si>
    <t>Kallichanda, Tarun</t>
  </si>
  <si>
    <t>Clifford, Matt A</t>
  </si>
  <si>
    <t>Mahony, Simon A</t>
  </si>
  <si>
    <t>Windred, Matthew C</t>
  </si>
  <si>
    <t>Martin, Brian</t>
  </si>
  <si>
    <t>Ray, Matthew</t>
  </si>
  <si>
    <t>Amoroso, Matthew</t>
  </si>
  <si>
    <t>West, David</t>
  </si>
  <si>
    <t>Foat, David</t>
  </si>
  <si>
    <t>Panchal, Sagar</t>
  </si>
  <si>
    <t>Metten, Steven G</t>
  </si>
  <si>
    <t>Pandya, Dhaval</t>
  </si>
  <si>
    <t>Dooley, Luke R</t>
  </si>
  <si>
    <t>Shahmatov, Luke</t>
  </si>
  <si>
    <t>Wijesurendra, Nissanka</t>
  </si>
  <si>
    <t>Kahlon, Daman</t>
  </si>
  <si>
    <t>Kumar, Naveen</t>
  </si>
  <si>
    <t>Khoury, Joseph M</t>
  </si>
  <si>
    <t>Boyle, Tom</t>
  </si>
  <si>
    <t>McCarthy, Linden M</t>
  </si>
  <si>
    <t>Kodial, Pradeep S</t>
  </si>
  <si>
    <t>Thind, Amritleen</t>
  </si>
  <si>
    <t>Khakhar, Sanjay H</t>
  </si>
  <si>
    <t>Ahamed, Irshad T</t>
  </si>
  <si>
    <t>Moutia, Michael P</t>
  </si>
  <si>
    <t>Tseng, William</t>
  </si>
  <si>
    <t>Irshad T</t>
  </si>
  <si>
    <t>Tom</t>
  </si>
  <si>
    <t>Matt A</t>
  </si>
  <si>
    <t>Ameen</t>
  </si>
  <si>
    <t>Jacob D</t>
  </si>
  <si>
    <t>Clint</t>
  </si>
  <si>
    <t>Daman</t>
  </si>
  <si>
    <t>Tarun</t>
  </si>
  <si>
    <t>Steve G</t>
  </si>
  <si>
    <t>Daniel M</t>
  </si>
  <si>
    <t>Sanjay H</t>
  </si>
  <si>
    <t>Muizz</t>
  </si>
  <si>
    <t>Pradeep S</t>
  </si>
  <si>
    <t>Naveen</t>
  </si>
  <si>
    <t>Shanil</t>
  </si>
  <si>
    <t>Lal, Shanil</t>
  </si>
  <si>
    <t>Simon A</t>
  </si>
  <si>
    <t>Brian</t>
  </si>
  <si>
    <t>Linden M</t>
  </si>
  <si>
    <t>Steven G</t>
  </si>
  <si>
    <t>Michael P</t>
  </si>
  <si>
    <t>John M</t>
  </si>
  <si>
    <t>Dhaval</t>
  </si>
  <si>
    <t>Amritleen</t>
  </si>
  <si>
    <t>Curtis</t>
  </si>
  <si>
    <t>Nissanka</t>
  </si>
  <si>
    <t>Matthew C</t>
  </si>
  <si>
    <t>58*</t>
  </si>
  <si>
    <t>Vishal</t>
  </si>
  <si>
    <t>3/47</t>
  </si>
  <si>
    <t>3/24</t>
  </si>
  <si>
    <t>8/18</t>
  </si>
  <si>
    <t>5/45</t>
  </si>
  <si>
    <t>4/13</t>
  </si>
  <si>
    <t>6/48</t>
  </si>
  <si>
    <t>5/20</t>
  </si>
  <si>
    <t>3/7</t>
  </si>
  <si>
    <t>4/14</t>
  </si>
  <si>
    <t>3/10</t>
  </si>
  <si>
    <t>4/18</t>
  </si>
  <si>
    <t>6/51</t>
  </si>
  <si>
    <t>2/17</t>
  </si>
  <si>
    <t>4/33</t>
  </si>
  <si>
    <t>2/15</t>
  </si>
  <si>
    <t>3/22</t>
  </si>
  <si>
    <t>3/9</t>
  </si>
  <si>
    <t>1/15</t>
  </si>
  <si>
    <t>2/26</t>
  </si>
  <si>
    <t>2/73</t>
  </si>
  <si>
    <t>1/14</t>
  </si>
  <si>
    <t>1/48</t>
  </si>
  <si>
    <t>Lewis, Mitchell J</t>
  </si>
  <si>
    <t>Khan, Mueen</t>
  </si>
  <si>
    <t>Atterton, Scott</t>
  </si>
  <si>
    <t>Taylor, Daniel</t>
  </si>
  <si>
    <t>Pauk, Phillip</t>
  </si>
  <si>
    <t>Kirpichnikov, David</t>
  </si>
  <si>
    <t>Dole, Amaan</t>
  </si>
  <si>
    <t>Kahlon, Manraj S</t>
  </si>
  <si>
    <t>Derwin, Lachlan J</t>
  </si>
  <si>
    <t>Pickersgill, Liam</t>
  </si>
  <si>
    <t>Singh, Virender</t>
  </si>
  <si>
    <t>Abdullah, Danish</t>
  </si>
  <si>
    <t>Danish</t>
  </si>
  <si>
    <t>Amrutkiran</t>
  </si>
  <si>
    <t>Amaan</t>
  </si>
  <si>
    <t>Georges, Josh</t>
  </si>
  <si>
    <t>Josh</t>
  </si>
  <si>
    <t>Manraj</t>
  </si>
  <si>
    <t>Mueen</t>
  </si>
  <si>
    <t>Virender</t>
  </si>
  <si>
    <t>4/12</t>
  </si>
  <si>
    <t>5/25</t>
  </si>
  <si>
    <t>0/6</t>
  </si>
  <si>
    <t>5/84</t>
  </si>
  <si>
    <t>Peter V</t>
  </si>
  <si>
    <t>'1/1</t>
  </si>
  <si>
    <t>1/9</t>
  </si>
  <si>
    <t>6/55</t>
  </si>
  <si>
    <t>6/22</t>
  </si>
  <si>
    <t>0/9</t>
  </si>
  <si>
    <t>4/35</t>
  </si>
  <si>
    <t>0/5</t>
  </si>
  <si>
    <t>1/5</t>
  </si>
  <si>
    <t>1/17</t>
  </si>
  <si>
    <t>0/4</t>
  </si>
  <si>
    <t>3/8</t>
  </si>
  <si>
    <t>Senevirartne, Ravi</t>
  </si>
  <si>
    <t>Ahmed, Syed N</t>
  </si>
  <si>
    <t>Mathew</t>
  </si>
  <si>
    <t>Kushan</t>
  </si>
  <si>
    <t>Manu</t>
  </si>
  <si>
    <t>Casey</t>
  </si>
  <si>
    <t>Jess</t>
  </si>
  <si>
    <t>Viriya</t>
  </si>
  <si>
    <t>Syed</t>
  </si>
  <si>
    <t>Amer Asfi, Ali</t>
  </si>
  <si>
    <t>Barrie, Matthew</t>
  </si>
  <si>
    <t>Basu, Kushan</t>
  </si>
  <si>
    <t>Bhatia, Manu</t>
  </si>
  <si>
    <t>Cheam, David</t>
  </si>
  <si>
    <t>Chittasy, Viriya</t>
  </si>
  <si>
    <t>Deitz, Bradley J</t>
  </si>
  <si>
    <t>Di Mauro, Robert</t>
  </si>
  <si>
    <t>Do, Thanh D</t>
  </si>
  <si>
    <t>Doan, John</t>
  </si>
  <si>
    <t>Douglass, Ron</t>
  </si>
  <si>
    <t>Duggal, Vivek</t>
  </si>
  <si>
    <t>Vivek</t>
  </si>
  <si>
    <t>Duggan, Shaun</t>
  </si>
  <si>
    <t>Shaun</t>
  </si>
  <si>
    <t>Eisenhuth, Samuel</t>
  </si>
  <si>
    <t>Samuel</t>
  </si>
  <si>
    <t>Frendo, Jonathon</t>
  </si>
  <si>
    <t>Gahlawat, Rohit</t>
  </si>
  <si>
    <t>Rohit</t>
  </si>
  <si>
    <t>Hardy, Peter</t>
  </si>
  <si>
    <t>Hill, Mark</t>
  </si>
  <si>
    <t>Jadhav, Nishant S</t>
  </si>
  <si>
    <t>Karamehmedovic, Damir</t>
  </si>
  <si>
    <t>Damir</t>
  </si>
  <si>
    <t>Khan, Hafiz M</t>
  </si>
  <si>
    <t>Nishant S</t>
  </si>
  <si>
    <t>Hafiz M</t>
  </si>
  <si>
    <t>Kiritharan, Shankaran</t>
  </si>
  <si>
    <t>Shankaran</t>
  </si>
  <si>
    <t>Kumar, Ravinder</t>
  </si>
  <si>
    <t>Ravinder</t>
  </si>
  <si>
    <t>Kumar, Vinay</t>
  </si>
  <si>
    <t>Vinay</t>
  </si>
  <si>
    <t>Mahony, Damien</t>
  </si>
  <si>
    <t>Damien</t>
  </si>
  <si>
    <t>Malik, Saad R</t>
  </si>
  <si>
    <t>Saad R</t>
  </si>
  <si>
    <t>Mear, Robert</t>
  </si>
  <si>
    <t>Meraj, Talha M</t>
  </si>
  <si>
    <t>Talha M</t>
  </si>
  <si>
    <t>Mukherjee, Hindol</t>
  </si>
  <si>
    <t>Hindol</t>
  </si>
  <si>
    <t>Pannu, Ajay Shahbaz M</t>
  </si>
  <si>
    <t>Ajay Shahbaz M</t>
  </si>
  <si>
    <t>Pannu, Gursuninder M</t>
  </si>
  <si>
    <t>Gursuninder M</t>
  </si>
  <si>
    <t>Pham, Andrew E</t>
  </si>
  <si>
    <t>Andrew E</t>
  </si>
  <si>
    <t>Pryke, Brendan C</t>
  </si>
  <si>
    <t>Brendan C</t>
  </si>
  <si>
    <t>Rathod, Nileshkumar</t>
  </si>
  <si>
    <t>Nileshkumar</t>
  </si>
  <si>
    <t>Raza, Shariq</t>
  </si>
  <si>
    <t>Shariq</t>
  </si>
  <si>
    <t>Roberts, Nathan</t>
  </si>
  <si>
    <t>Rungta, Yash</t>
  </si>
  <si>
    <t>Yash</t>
  </si>
  <si>
    <t>Saini, Amit</t>
  </si>
  <si>
    <t>Saini, Pankaj</t>
  </si>
  <si>
    <t>Pankaj</t>
  </si>
  <si>
    <t>Simmons, Jeff R</t>
  </si>
  <si>
    <t>Jeff R</t>
  </si>
  <si>
    <t>Singh, Baljinder</t>
  </si>
  <si>
    <t>Baljinder</t>
  </si>
  <si>
    <t>Singh, Barjinder P</t>
  </si>
  <si>
    <t>Barjinder P</t>
  </si>
  <si>
    <t>Singh, Beant</t>
  </si>
  <si>
    <t>Beant</t>
  </si>
  <si>
    <t>Singh, Charanpreet</t>
  </si>
  <si>
    <t>Charanpreet</t>
  </si>
  <si>
    <t>Singh, Harpreet</t>
  </si>
  <si>
    <t>Singh, Sarvjeet</t>
  </si>
  <si>
    <t>Sarvjeet</t>
  </si>
  <si>
    <t>Sooriakomar, Saran</t>
  </si>
  <si>
    <t>Saran</t>
  </si>
  <si>
    <t>Strathern, David</t>
  </si>
  <si>
    <t>Sultana, David</t>
  </si>
  <si>
    <t>Suvarna, Suhrad R</t>
  </si>
  <si>
    <t>Suhrad R</t>
  </si>
  <si>
    <t>Alex J</t>
  </si>
  <si>
    <t>Tolley, Nick J</t>
  </si>
  <si>
    <t>Nick J</t>
  </si>
  <si>
    <t>Tormey, Liam</t>
  </si>
  <si>
    <t>Turi, Javid</t>
  </si>
  <si>
    <t>Javid</t>
  </si>
  <si>
    <t>Wadhwa, Vijay</t>
  </si>
  <si>
    <t>Vijay</t>
  </si>
  <si>
    <t>Wang, Adam</t>
  </si>
  <si>
    <t>27*</t>
  </si>
  <si>
    <t>Thanh D</t>
  </si>
  <si>
    <t>207*</t>
  </si>
  <si>
    <t>Mirza, Zeeshan T</t>
  </si>
  <si>
    <t>Zeeshan T</t>
  </si>
  <si>
    <t>Brandon J</t>
  </si>
  <si>
    <t>3/6</t>
  </si>
  <si>
    <t>2/11</t>
  </si>
  <si>
    <t>2/22</t>
  </si>
  <si>
    <t>6/39</t>
  </si>
  <si>
    <t>4/15</t>
  </si>
  <si>
    <t>1/180</t>
  </si>
  <si>
    <t>1/27</t>
  </si>
  <si>
    <t>0/12</t>
  </si>
  <si>
    <t>6/28</t>
  </si>
  <si>
    <t>3/1</t>
  </si>
  <si>
    <t>4/21</t>
  </si>
  <si>
    <t>1/1</t>
  </si>
  <si>
    <t>4/41</t>
  </si>
  <si>
    <t>Poorna P</t>
  </si>
  <si>
    <t>1/6</t>
  </si>
  <si>
    <t>0/21</t>
  </si>
  <si>
    <t>1/13</t>
  </si>
  <si>
    <t>0/8</t>
  </si>
  <si>
    <t>6/17</t>
  </si>
  <si>
    <t>0/23</t>
  </si>
  <si>
    <t>2/1</t>
  </si>
  <si>
    <t>0/25</t>
  </si>
  <si>
    <t>1/21</t>
  </si>
  <si>
    <t>1/11</t>
  </si>
  <si>
    <t>7/47</t>
  </si>
  <si>
    <t>6/46</t>
  </si>
  <si>
    <t>1/24</t>
  </si>
  <si>
    <t>0/20</t>
  </si>
  <si>
    <t>1/2</t>
  </si>
  <si>
    <t>6/58</t>
  </si>
  <si>
    <t>1/12</t>
  </si>
  <si>
    <t>5/24</t>
  </si>
  <si>
    <t>3/65</t>
  </si>
  <si>
    <t>6/23</t>
  </si>
  <si>
    <t>Eddie</t>
  </si>
  <si>
    <t>Abasi, Atta M</t>
  </si>
  <si>
    <t>Atta</t>
  </si>
  <si>
    <t>Abbi, Sahil</t>
  </si>
  <si>
    <t>Abro, Waheed</t>
  </si>
  <si>
    <t>Waheed</t>
  </si>
  <si>
    <t>Adeel, Izanullah</t>
  </si>
  <si>
    <t>Izanullah</t>
  </si>
  <si>
    <t>Adnan, Muhammad T</t>
  </si>
  <si>
    <t>Muhammad</t>
  </si>
  <si>
    <t>Ayoub, Milad</t>
  </si>
  <si>
    <t>Milad</t>
  </si>
  <si>
    <t>Bansal, Himanshu</t>
  </si>
  <si>
    <t>Himanshu</t>
  </si>
  <si>
    <t>Barua, Amit</t>
  </si>
  <si>
    <t>Barua, Shawon</t>
  </si>
  <si>
    <t>Shawon</t>
  </si>
  <si>
    <t>Benipal, Inderjit</t>
  </si>
  <si>
    <t>Inderjit</t>
  </si>
  <si>
    <t>Bhullar, Kuldip S</t>
  </si>
  <si>
    <t>Kuldip S</t>
  </si>
  <si>
    <t>Chattree, Vinay</t>
  </si>
  <si>
    <t>Chattree, Zane</t>
  </si>
  <si>
    <t>Zane</t>
  </si>
  <si>
    <t>Chaudhary, Muhammad Zaid M</t>
  </si>
  <si>
    <t>Chowdhury, MD NUR-A-ALAM</t>
  </si>
  <si>
    <t>Chugh, Divesh</t>
  </si>
  <si>
    <t>Divesh</t>
  </si>
  <si>
    <t>Clark, Tom D</t>
  </si>
  <si>
    <t>Tom D</t>
  </si>
  <si>
    <t>Dhir, Shippu</t>
  </si>
  <si>
    <t>Shippu</t>
  </si>
  <si>
    <t>Drozario, Kevin A</t>
  </si>
  <si>
    <t>Kevin A</t>
  </si>
  <si>
    <t>Dua, Sahil</t>
  </si>
  <si>
    <t>Duncan, Josh</t>
  </si>
  <si>
    <t>Dunn, Myron C</t>
  </si>
  <si>
    <t>Myron C</t>
  </si>
  <si>
    <t>Grover, Aadit</t>
  </si>
  <si>
    <t>Aadit</t>
  </si>
  <si>
    <t>Hadid, Muhammad</t>
  </si>
  <si>
    <t>Harish, Prithvi Yadav</t>
  </si>
  <si>
    <t>Prithvi Yadav</t>
  </si>
  <si>
    <t>Hoque, MD S</t>
  </si>
  <si>
    <t>Johal, Gurneel</t>
  </si>
  <si>
    <t>Gurneel</t>
  </si>
  <si>
    <t>Kalia, Ankit</t>
  </si>
  <si>
    <t>Kamsali, Abhinav</t>
  </si>
  <si>
    <t>Abhinav</t>
  </si>
  <si>
    <t>Kanade, Rohan S</t>
  </si>
  <si>
    <t>Rohan S</t>
  </si>
  <si>
    <t>Khan Parvez Ali, Syed</t>
  </si>
  <si>
    <t>Khan, Bilal</t>
  </si>
  <si>
    <t>Bilal</t>
  </si>
  <si>
    <t>Khera, Ashwin</t>
  </si>
  <si>
    <t>Ashwin</t>
  </si>
  <si>
    <t>Kumar, Rajinder</t>
  </si>
  <si>
    <t>Rajinder</t>
  </si>
  <si>
    <t>Limson, Miguel R</t>
  </si>
  <si>
    <t>Miguel R</t>
  </si>
  <si>
    <t>Magazine, Sandeep S</t>
  </si>
  <si>
    <t>Sandeep S</t>
  </si>
  <si>
    <t>Mahabir, Vipul</t>
  </si>
  <si>
    <t>Vipul</t>
  </si>
  <si>
    <t>Mangat, Bob</t>
  </si>
  <si>
    <t>Bob</t>
  </si>
  <si>
    <t>Mathews, Chris</t>
  </si>
  <si>
    <t>Mathews, Hayden</t>
  </si>
  <si>
    <t>Hayden</t>
  </si>
  <si>
    <t>Mathews, Nathan</t>
  </si>
  <si>
    <t>Muhammed, Samiullah</t>
  </si>
  <si>
    <t>Samiullah</t>
  </si>
  <si>
    <t>Nagra, Jashan</t>
  </si>
  <si>
    <t>Jashan</t>
  </si>
  <si>
    <t>Narwal, Jaideep</t>
  </si>
  <si>
    <t>Jaideep</t>
  </si>
  <si>
    <t>Narwal, Mohit</t>
  </si>
  <si>
    <t>Mohit</t>
  </si>
  <si>
    <t>Nath, Nikhil</t>
  </si>
  <si>
    <t>Nikhil</t>
  </si>
  <si>
    <t>Patel, Shilpesh D</t>
  </si>
  <si>
    <t>Shilpesh D</t>
  </si>
  <si>
    <t>Paul, Sourav</t>
  </si>
  <si>
    <t>Sourav</t>
  </si>
  <si>
    <t>Piper, Andrew K</t>
  </si>
  <si>
    <t>Andrew K</t>
  </si>
  <si>
    <t>Prasad, Ashneel</t>
  </si>
  <si>
    <t>Ashneel</t>
  </si>
  <si>
    <t>Saffat, Syed S</t>
  </si>
  <si>
    <t>Syed S</t>
  </si>
  <si>
    <t>Sarkar, Joy</t>
  </si>
  <si>
    <t>Joy</t>
  </si>
  <si>
    <t>Sarkar, Nayan</t>
  </si>
  <si>
    <t>Nayan</t>
  </si>
  <si>
    <t>Shakir, Syed S</t>
  </si>
  <si>
    <t>Sharma, Pankaj</t>
  </si>
  <si>
    <t>Shivakumar, Aditya</t>
  </si>
  <si>
    <t>Aditya</t>
  </si>
  <si>
    <t>Shivam, Shivam</t>
  </si>
  <si>
    <t>Singh, Amritbir</t>
  </si>
  <si>
    <t>Amritbir</t>
  </si>
  <si>
    <t>Singh, Devender</t>
  </si>
  <si>
    <t>Devender</t>
  </si>
  <si>
    <t>Singh, Inder Preet</t>
  </si>
  <si>
    <t>Inder Preet</t>
  </si>
  <si>
    <t>Singh, Khushpreet B</t>
  </si>
  <si>
    <t>Khushpreet B</t>
  </si>
  <si>
    <t>Singh, Maninder</t>
  </si>
  <si>
    <t>Maninder</t>
  </si>
  <si>
    <t>Singh, Karanvir</t>
  </si>
  <si>
    <t>Karanvir</t>
  </si>
  <si>
    <t>Singh, Rajpreet</t>
  </si>
  <si>
    <t>Rajpreet</t>
  </si>
  <si>
    <t>Singhota, Tanroop</t>
  </si>
  <si>
    <t>Tanroop</t>
  </si>
  <si>
    <t>Thind, Alamjot S</t>
  </si>
  <si>
    <t>Alamjot S</t>
  </si>
  <si>
    <t>Tlais, Fadi</t>
  </si>
  <si>
    <t>Fadi</t>
  </si>
  <si>
    <t>Verma, Tejas</t>
  </si>
  <si>
    <t>Tejas</t>
  </si>
  <si>
    <t>Walsh, Daniel J</t>
  </si>
  <si>
    <t>Daniel J</t>
  </si>
  <si>
    <t>Waris, Muhammad H</t>
  </si>
  <si>
    <t>Muhammad H</t>
  </si>
  <si>
    <t>Wilkinson, Austin B</t>
  </si>
  <si>
    <t>Austin B</t>
  </si>
  <si>
    <t>Yaseen, Talha</t>
  </si>
  <si>
    <t>Talha</t>
  </si>
  <si>
    <t>Chowdhury</t>
  </si>
  <si>
    <t>120*</t>
  </si>
  <si>
    <t>116*</t>
  </si>
  <si>
    <t>4/72</t>
  </si>
  <si>
    <t>1/18</t>
  </si>
  <si>
    <t>3/21</t>
  </si>
  <si>
    <t>5/11</t>
  </si>
  <si>
    <t>4/36</t>
  </si>
  <si>
    <t>7/29</t>
  </si>
  <si>
    <t>3/16</t>
  </si>
  <si>
    <t>5/7</t>
  </si>
  <si>
    <t>2/9</t>
  </si>
  <si>
    <t>6/15</t>
  </si>
  <si>
    <t>4/9</t>
  </si>
  <si>
    <t>2/12</t>
  </si>
  <si>
    <t>2/7</t>
  </si>
  <si>
    <t>3/3</t>
  </si>
  <si>
    <t>5/44</t>
  </si>
  <si>
    <t>3/61</t>
  </si>
  <si>
    <t>2/10</t>
  </si>
  <si>
    <t>4/5</t>
  </si>
  <si>
    <t>7/39</t>
  </si>
  <si>
    <t>5/17</t>
  </si>
  <si>
    <t>2/32</t>
  </si>
  <si>
    <t>7/20</t>
  </si>
  <si>
    <t>3/50</t>
  </si>
  <si>
    <t>7/49</t>
  </si>
  <si>
    <t>3/31</t>
  </si>
  <si>
    <t>6/47</t>
  </si>
  <si>
    <t>2/16</t>
  </si>
  <si>
    <t>4/20</t>
  </si>
  <si>
    <t>1/22</t>
  </si>
  <si>
    <t>1/7</t>
  </si>
  <si>
    <t>5/12</t>
  </si>
  <si>
    <t>Zafar, Muhammad Adnan Eddie W</t>
  </si>
  <si>
    <t>Zamiul Bin Farooque, Chowdhury</t>
  </si>
  <si>
    <t>Al amin, S M</t>
  </si>
  <si>
    <t>S M</t>
  </si>
  <si>
    <t>Alam, Syed Hasibul</t>
  </si>
  <si>
    <t>Alex Jerry, Aarav</t>
  </si>
  <si>
    <t>Aarav</t>
  </si>
  <si>
    <t>Ali, Sajeel</t>
  </si>
  <si>
    <t>Sajeel</t>
  </si>
  <si>
    <t>Arora, Vipul</t>
  </si>
  <si>
    <t>Athota, Satya</t>
  </si>
  <si>
    <t>Satya</t>
  </si>
  <si>
    <t>Azam, Junaid</t>
  </si>
  <si>
    <t>Junaid</t>
  </si>
  <si>
    <t>Badar, Usman</t>
  </si>
  <si>
    <t>Usman</t>
  </si>
  <si>
    <t>Balaji Srinivasan, Vishal</t>
  </si>
  <si>
    <t>Barton, Kevin</t>
  </si>
  <si>
    <t>Basnet, Mahendra</t>
  </si>
  <si>
    <t>Mahendra</t>
  </si>
  <si>
    <t>Bhagat, Harsh</t>
  </si>
  <si>
    <t>Harsh</t>
  </si>
  <si>
    <t>Bhatia, Aman</t>
  </si>
  <si>
    <t>Aman</t>
  </si>
  <si>
    <t>Boreddy, Akshith</t>
  </si>
  <si>
    <t>Akshith</t>
  </si>
  <si>
    <t>Brydon, Aaron</t>
  </si>
  <si>
    <t>Brydon, Matthew</t>
  </si>
  <si>
    <t>Chandla, Sahil</t>
  </si>
  <si>
    <t>Chaudhari, Dipak</t>
  </si>
  <si>
    <t>Dipak</t>
  </si>
  <si>
    <t>Connor, Greg J</t>
  </si>
  <si>
    <t>Greg J</t>
  </si>
  <si>
    <t>Dalal, Bhavin</t>
  </si>
  <si>
    <t>Bhavin</t>
  </si>
  <si>
    <t>Deepak, Deepak</t>
  </si>
  <si>
    <t>Deepak</t>
  </si>
  <si>
    <t>Farooq, Hadi</t>
  </si>
  <si>
    <t>Hadi</t>
  </si>
  <si>
    <t>Ganesan, Gowshik Vimal</t>
  </si>
  <si>
    <t>Gowshik</t>
  </si>
  <si>
    <t>Garewal, Jatin</t>
  </si>
  <si>
    <t>Jatin</t>
  </si>
  <si>
    <t>Gill, Lovedeep</t>
  </si>
  <si>
    <t>Lovedeep</t>
  </si>
  <si>
    <t>Godbole, Sahil</t>
  </si>
  <si>
    <t>Grover, Geetesh</t>
  </si>
  <si>
    <t>Geetesh</t>
  </si>
  <si>
    <t>Gupta, Rahul</t>
  </si>
  <si>
    <t>Rahul</t>
  </si>
  <si>
    <t>Haroon, Hamza</t>
  </si>
  <si>
    <t>Hamza</t>
  </si>
  <si>
    <t>MD S</t>
  </si>
  <si>
    <t>Abdullah</t>
  </si>
  <si>
    <t>Imran, Yahya</t>
  </si>
  <si>
    <t>Yahya</t>
  </si>
  <si>
    <t>Iqbal, Khurram M</t>
  </si>
  <si>
    <t>Khurram M</t>
  </si>
  <si>
    <t>Jathar, Shishir</t>
  </si>
  <si>
    <t>Shishir</t>
  </si>
  <si>
    <t>Jayan, Anoop</t>
  </si>
  <si>
    <t>Anoop</t>
  </si>
  <si>
    <t>Joll, Brent T</t>
  </si>
  <si>
    <t>Brent T</t>
  </si>
  <si>
    <t>Joshi, Karna Prasanna</t>
  </si>
  <si>
    <t>Karna</t>
  </si>
  <si>
    <t>Joy, Peter</t>
  </si>
  <si>
    <t>Jupalli, Karthaveerya</t>
  </si>
  <si>
    <t>Karthaveerya</t>
  </si>
  <si>
    <t>Kadyan, Diwas K</t>
  </si>
  <si>
    <t>Diwas K</t>
  </si>
  <si>
    <t>Kalotra, Shivam</t>
  </si>
  <si>
    <t>Kamboj, Vishal</t>
  </si>
  <si>
    <t>Karmakar, Amlan</t>
  </si>
  <si>
    <t>Amlan</t>
  </si>
  <si>
    <t>Kerdmongkon, Tommy</t>
  </si>
  <si>
    <t>Tommy</t>
  </si>
  <si>
    <t>Khan, Hamza</t>
  </si>
  <si>
    <t>Khan, Inamullah</t>
  </si>
  <si>
    <t>Inamullah</t>
  </si>
  <si>
    <t>Khan, Tahseen</t>
  </si>
  <si>
    <t>Tahseen</t>
  </si>
  <si>
    <t>Kohli, Dhruv</t>
  </si>
  <si>
    <t>Dhruv</t>
  </si>
  <si>
    <t>Kotla, Narendar reddy</t>
  </si>
  <si>
    <t>Narendar</t>
  </si>
  <si>
    <t>Kumar, Kranthi</t>
  </si>
  <si>
    <t>Kranthi</t>
  </si>
  <si>
    <t>Munish</t>
  </si>
  <si>
    <t>Madivada, Rakesh</t>
  </si>
  <si>
    <t>Rakesh</t>
  </si>
  <si>
    <t>Mahony, Levi</t>
  </si>
  <si>
    <t>Levi</t>
  </si>
  <si>
    <t>Mangal, Dhruv</t>
  </si>
  <si>
    <t>Mardini, Christian S</t>
  </si>
  <si>
    <t>Christian S</t>
  </si>
  <si>
    <t>Mardini, Samuel A</t>
  </si>
  <si>
    <t>Samuel A</t>
  </si>
  <si>
    <t>Matthew, James A</t>
  </si>
  <si>
    <t>Mehta, Sujan M</t>
  </si>
  <si>
    <t>Sujan M</t>
  </si>
  <si>
    <t>Mittal, Aarush</t>
  </si>
  <si>
    <t>Aarush</t>
  </si>
  <si>
    <t>Mittal, Ansh</t>
  </si>
  <si>
    <t>Ansh</t>
  </si>
  <si>
    <t>Modi AKA Chakwawala, Deval M</t>
  </si>
  <si>
    <t>Deval M</t>
  </si>
  <si>
    <t>Mohammed, Arif</t>
  </si>
  <si>
    <t>Arif</t>
  </si>
  <si>
    <t>Mohiuddin, S M</t>
  </si>
  <si>
    <t>Muzahid, Zawad</t>
  </si>
  <si>
    <t>Zawad</t>
  </si>
  <si>
    <t>Narang, Jay</t>
  </si>
  <si>
    <t>Jay</t>
  </si>
  <si>
    <t>Narayanan, Vaibhav</t>
  </si>
  <si>
    <t>Vaibhav</t>
  </si>
  <si>
    <t>Nepal, Nitesh</t>
  </si>
  <si>
    <t>Nitesh</t>
  </si>
  <si>
    <t>Pannu, Monu</t>
  </si>
  <si>
    <t>Monu</t>
  </si>
  <si>
    <t>Pasfield, Marcus James</t>
  </si>
  <si>
    <t>Marcus</t>
  </si>
  <si>
    <t>Paterson-Hill, Paul J</t>
  </si>
  <si>
    <t>Paul J</t>
  </si>
  <si>
    <t>Pemble, Harrison</t>
  </si>
  <si>
    <t>Harrison</t>
  </si>
  <si>
    <t>Puliadi Kishore Kumar, Dheep Chand</t>
  </si>
  <si>
    <t>Dheep Chand</t>
  </si>
  <si>
    <t>Ramani, Sriram</t>
  </si>
  <si>
    <t>Sriram</t>
  </si>
  <si>
    <t>Ratnarajah, Dilan</t>
  </si>
  <si>
    <t>Dilan</t>
  </si>
  <si>
    <t>Ruhil, Karan</t>
  </si>
  <si>
    <t>Karan</t>
  </si>
  <si>
    <t>Sachdeva, Sachin</t>
  </si>
  <si>
    <t>Sachin</t>
  </si>
  <si>
    <t>Saha, Ankush</t>
  </si>
  <si>
    <t>Ankush</t>
  </si>
  <si>
    <t>Saini, Rishi</t>
  </si>
  <si>
    <t>Rishi</t>
  </si>
  <si>
    <t>Saini, Vikram</t>
  </si>
  <si>
    <t>Vikram</t>
  </si>
  <si>
    <t>Sarmal, Suraj</t>
  </si>
  <si>
    <t>Suraj</t>
  </si>
  <si>
    <t>Sharma, Ashmeet</t>
  </si>
  <si>
    <t>Ashmeet</t>
  </si>
  <si>
    <t>Sharma, Vinayak</t>
  </si>
  <si>
    <t>Vinayak</t>
  </si>
  <si>
    <t>Shetty, Sushant</t>
  </si>
  <si>
    <t>Sushant</t>
  </si>
  <si>
    <t>Siddique, Mohammad Muzammil</t>
  </si>
  <si>
    <t>Mohammad</t>
  </si>
  <si>
    <t>Siddiqui, Yusuf</t>
  </si>
  <si>
    <t>Yusuf</t>
  </si>
  <si>
    <t>Singh, Gurpartaap</t>
  </si>
  <si>
    <t>Gurpartaap</t>
  </si>
  <si>
    <t>Singh, Jagdeep</t>
  </si>
  <si>
    <t>Jagdeep</t>
  </si>
  <si>
    <t>Singh, Lakhwinder</t>
  </si>
  <si>
    <t>Lakhwinder</t>
  </si>
  <si>
    <t>Singh, Palvinder</t>
  </si>
  <si>
    <t>Palvinder</t>
  </si>
  <si>
    <t>Singh, Sahib J</t>
  </si>
  <si>
    <t>Sahib J</t>
  </si>
  <si>
    <t>Singh, Sidhant</t>
  </si>
  <si>
    <t>Sidhant</t>
  </si>
  <si>
    <t>Singh, Simran S</t>
  </si>
  <si>
    <t>Simran S</t>
  </si>
  <si>
    <t>Singh, Simranjeet</t>
  </si>
  <si>
    <t>Simranjeet</t>
  </si>
  <si>
    <t>Singh, Vikram pal</t>
  </si>
  <si>
    <t>Vikram pal</t>
  </si>
  <si>
    <t>Singh, Vinay pal</t>
  </si>
  <si>
    <t>Vinay pal</t>
  </si>
  <si>
    <t>Sinha, Aryan</t>
  </si>
  <si>
    <t>Aryan</t>
  </si>
  <si>
    <t>Sooriakumar, Sivasaran</t>
  </si>
  <si>
    <t>Sivasaran</t>
  </si>
  <si>
    <t>Srivastava, Deepak</t>
  </si>
  <si>
    <t>Subramaniam, Karthick</t>
  </si>
  <si>
    <t>Karthick</t>
  </si>
  <si>
    <t>Tola, Shivam</t>
  </si>
  <si>
    <t>Trethewey, Paul</t>
  </si>
  <si>
    <t>Valayaputtur, Suresh</t>
  </si>
  <si>
    <t>Suresh</t>
  </si>
  <si>
    <t>Verma, Himanshu</t>
  </si>
  <si>
    <t>Verma, Mohit</t>
  </si>
  <si>
    <t>Virk, Waqar</t>
  </si>
  <si>
    <t>Waqar</t>
  </si>
  <si>
    <t>Wadhwa, Dixit</t>
  </si>
  <si>
    <t>Dixit</t>
  </si>
  <si>
    <t>Wahab, Tauseef</t>
  </si>
  <si>
    <t>Tauseef</t>
  </si>
  <si>
    <t>Zaman, Ridwan</t>
  </si>
  <si>
    <t>Ridwan</t>
  </si>
  <si>
    <t>37*</t>
  </si>
  <si>
    <t>135*</t>
  </si>
  <si>
    <t>83*</t>
  </si>
  <si>
    <t>24*</t>
  </si>
  <si>
    <t>Sankpal, Harshvardhan</t>
  </si>
  <si>
    <t>Harshvardhan</t>
  </si>
  <si>
    <t>4/3</t>
  </si>
  <si>
    <t>4/16</t>
  </si>
  <si>
    <t>4/30</t>
  </si>
  <si>
    <t>3/20</t>
  </si>
  <si>
    <t>2/39</t>
  </si>
  <si>
    <t>2/14</t>
  </si>
  <si>
    <t>10/46</t>
  </si>
  <si>
    <t>4/10</t>
  </si>
  <si>
    <t>3/12</t>
  </si>
  <si>
    <t>3/52</t>
  </si>
  <si>
    <t>4/26</t>
  </si>
  <si>
    <t>5/19</t>
  </si>
  <si>
    <t>3/11</t>
  </si>
  <si>
    <t>3/37</t>
  </si>
  <si>
    <t>2/13</t>
  </si>
  <si>
    <t>5/29</t>
  </si>
  <si>
    <t>5/42</t>
  </si>
  <si>
    <t>5/39</t>
  </si>
  <si>
    <t>5/15</t>
  </si>
  <si>
    <t>7/21</t>
  </si>
  <si>
    <t>3/15</t>
  </si>
  <si>
    <t>3/19</t>
  </si>
  <si>
    <t>3/18</t>
  </si>
  <si>
    <t>4/47</t>
  </si>
  <si>
    <t>7/13</t>
  </si>
  <si>
    <t>5/38</t>
  </si>
  <si>
    <t>Adhikari,Shlloak</t>
  </si>
  <si>
    <t>Shlloak</t>
  </si>
  <si>
    <t>Ahmad, Ishraque</t>
  </si>
  <si>
    <t>Ishraque</t>
  </si>
  <si>
    <t>Akhtari, Hasan Ali</t>
  </si>
  <si>
    <t>Mohsin Ali</t>
  </si>
  <si>
    <t>Alawi, Abubakr</t>
  </si>
  <si>
    <t>Abubakr</t>
  </si>
  <si>
    <t>Jayasimha</t>
  </si>
  <si>
    <t>AN, Jayasimha</t>
  </si>
  <si>
    <t>Anwar, Muhammad Zayan</t>
  </si>
  <si>
    <t>Affan</t>
  </si>
  <si>
    <t>Zayan</t>
  </si>
  <si>
    <t>Badar, Sufyan</t>
  </si>
  <si>
    <t>Sufyan</t>
  </si>
  <si>
    <t>Bari, Mohammad S</t>
  </si>
  <si>
    <t>Barot, Himanshu</t>
  </si>
  <si>
    <t>Basavaraj, Prashanth</t>
  </si>
  <si>
    <t>Prashanth</t>
  </si>
  <si>
    <t>Bhambhani, Yash</t>
  </si>
  <si>
    <t>Bharathi, Mahesh</t>
  </si>
  <si>
    <t>Mahesh</t>
  </si>
  <si>
    <t>Bhardwaj, Nitish</t>
  </si>
  <si>
    <t>Nitish</t>
  </si>
  <si>
    <t>Bhiki, Christopher</t>
  </si>
  <si>
    <t>Bhusal,Cmaant</t>
  </si>
  <si>
    <t>Cmaant</t>
  </si>
  <si>
    <t>Brahmbhatt, Anish</t>
  </si>
  <si>
    <t>Butcher, Brenton</t>
  </si>
  <si>
    <t>Brenton</t>
  </si>
  <si>
    <t>Campbell, Kaylan J</t>
  </si>
  <si>
    <t>Kaylan</t>
  </si>
  <si>
    <t>Cao, Steven Zhi Zheng</t>
  </si>
  <si>
    <t>Champion, Humza</t>
  </si>
  <si>
    <t>Humza</t>
  </si>
  <si>
    <t>Chanda, Sidhartha</t>
  </si>
  <si>
    <t>Sidhartha</t>
  </si>
  <si>
    <t>Chisholm, Darren L</t>
  </si>
  <si>
    <t>Dar, Umair</t>
  </si>
  <si>
    <t>Umair</t>
  </si>
  <si>
    <t>Devarashetty, Jayati</t>
  </si>
  <si>
    <t>Jayati</t>
  </si>
  <si>
    <t>Dhawan, Kishna</t>
  </si>
  <si>
    <t>Kishna</t>
  </si>
  <si>
    <t>Dhir, Vivaan</t>
  </si>
  <si>
    <t>Vivaan</t>
  </si>
  <si>
    <t>Duggal, Aarav</t>
  </si>
  <si>
    <t>Fernandes, Jonathan J</t>
  </si>
  <si>
    <t>Jonathan</t>
  </si>
  <si>
    <t>Garg, Viren</t>
  </si>
  <si>
    <t>Viren</t>
  </si>
  <si>
    <t>Gilbert Connor</t>
  </si>
  <si>
    <t>Connor</t>
  </si>
  <si>
    <t>Haider, Mansab</t>
  </si>
  <si>
    <t>Mansab</t>
  </si>
  <si>
    <t>Anirudh</t>
  </si>
  <si>
    <t>Hariharasuthan, Anirudh</t>
  </si>
  <si>
    <t>Hariharasuthan, Arjun Sankar</t>
  </si>
  <si>
    <t>Arjun</t>
  </si>
  <si>
    <t>Harris, James</t>
  </si>
  <si>
    <t>Vaibhaav</t>
  </si>
  <si>
    <t>Jayavarapu, Adhvay</t>
  </si>
  <si>
    <t>Adhvay</t>
  </si>
  <si>
    <t>Jayavarapu, Sai Shloka Reddy</t>
  </si>
  <si>
    <t>Sai</t>
  </si>
  <si>
    <t>Jebara, Solomon</t>
  </si>
  <si>
    <t>Solomon</t>
  </si>
  <si>
    <t>Kamboj, Sumit</t>
  </si>
  <si>
    <t>Sumit</t>
  </si>
  <si>
    <t>Kannan, Mani</t>
  </si>
  <si>
    <t>Mani</t>
  </si>
  <si>
    <t>Kansara, Aaryan</t>
  </si>
  <si>
    <t>Aaryan</t>
  </si>
  <si>
    <t>Karthick, Saket</t>
  </si>
  <si>
    <t>Saket</t>
  </si>
  <si>
    <t>Khalid, K M Monsur</t>
  </si>
  <si>
    <t>Monsur</t>
  </si>
  <si>
    <t>Khalid, Muhammad R</t>
  </si>
  <si>
    <t>Khan, Abdullah I</t>
  </si>
  <si>
    <t>Khan, Ibrahim</t>
  </si>
  <si>
    <t>Ibrahim</t>
  </si>
  <si>
    <t>Khawaja, Sarosh</t>
  </si>
  <si>
    <t>Saroosh</t>
  </si>
  <si>
    <t>Kumar, Navdeep</t>
  </si>
  <si>
    <t>Navdeep</t>
  </si>
  <si>
    <t>Kuruvilla, Matthew</t>
  </si>
  <si>
    <t>Luther, Munish</t>
  </si>
  <si>
    <t>Vidhath</t>
  </si>
  <si>
    <t>Madra, Arpit</t>
  </si>
  <si>
    <t>Arpit</t>
  </si>
  <si>
    <t>Maharaj, Avijay</t>
  </si>
  <si>
    <t>Avijay</t>
  </si>
  <si>
    <t>Mahesh, Vinayak</t>
  </si>
  <si>
    <t>Mahony, Kai</t>
  </si>
  <si>
    <t>Kai</t>
  </si>
  <si>
    <t>Maikhael, Raymond</t>
  </si>
  <si>
    <t>Marken, Ansh</t>
  </si>
  <si>
    <t>Mehta, Parimal</t>
  </si>
  <si>
    <t>Parimal</t>
  </si>
  <si>
    <t>Modi, Krunal K</t>
  </si>
  <si>
    <t>Krunal K</t>
  </si>
  <si>
    <t>Mohammad Ashkar, Hudhaifah</t>
  </si>
  <si>
    <t>Hudhaifah</t>
  </si>
  <si>
    <t>Mohammed, Zain Ahmed</t>
  </si>
  <si>
    <t>Zain Ahmed</t>
  </si>
  <si>
    <t>Mori, Dashang</t>
  </si>
  <si>
    <t>Dashang</t>
  </si>
  <si>
    <t>Muhammed Ramsy, Muhammed</t>
  </si>
  <si>
    <t>Muhammed</t>
  </si>
  <si>
    <t>Nafeel, Ijaz</t>
  </si>
  <si>
    <t>Ijaz</t>
  </si>
  <si>
    <t>Nikhanj, Ritvik</t>
  </si>
  <si>
    <t>Ritvik</t>
  </si>
  <si>
    <t>O'Connor, Kevin J</t>
  </si>
  <si>
    <t>Kevin J</t>
  </si>
  <si>
    <t>O'Keeffe, Simon</t>
  </si>
  <si>
    <t>Omar, Eesa</t>
  </si>
  <si>
    <t>Eesa</t>
  </si>
  <si>
    <t>Panchal, Krish M</t>
  </si>
  <si>
    <t>Krish M</t>
  </si>
  <si>
    <t>Parmar, Damanpreet S</t>
  </si>
  <si>
    <t>Damanpreet</t>
  </si>
  <si>
    <t>Patel, Chirag</t>
  </si>
  <si>
    <t>Chirag</t>
  </si>
  <si>
    <t>Patel, Devendra</t>
  </si>
  <si>
    <t>Devendra</t>
  </si>
  <si>
    <t>Patel, Hirenkumar</t>
  </si>
  <si>
    <t>Hirenkumar</t>
  </si>
  <si>
    <t>Patel, Jignesh</t>
  </si>
  <si>
    <t>Jignesh</t>
  </si>
  <si>
    <t>Patel, Kalpesh Panchabhai</t>
  </si>
  <si>
    <t>Kalpesh</t>
  </si>
  <si>
    <t>Patel, Paresh</t>
  </si>
  <si>
    <t>Paresh</t>
  </si>
  <si>
    <t>Patel, Piyush</t>
  </si>
  <si>
    <t>Piyush</t>
  </si>
  <si>
    <t>Patel, Vraj</t>
  </si>
  <si>
    <t>Vraj</t>
  </si>
  <si>
    <t>Prashant, Krishna</t>
  </si>
  <si>
    <t>Krishna</t>
  </si>
  <si>
    <t>Purohit,Vendang</t>
  </si>
  <si>
    <t>Vendang</t>
  </si>
  <si>
    <t>Qadir, Subhaan Allah</t>
  </si>
  <si>
    <t>Subhan</t>
  </si>
  <si>
    <t>Rafi, S M Mohsin Shams</t>
  </si>
  <si>
    <t>Mohsin</t>
  </si>
  <si>
    <t>Ramamoorthy, Vineeth</t>
  </si>
  <si>
    <t>Vineeth</t>
  </si>
  <si>
    <t>Rana, Anas</t>
  </si>
  <si>
    <t>Anas</t>
  </si>
  <si>
    <t>Razaq, Usama</t>
  </si>
  <si>
    <t>Usama</t>
  </si>
  <si>
    <t>Ruhil, Naveen</t>
  </si>
  <si>
    <t>Sachdeva, Ankush</t>
  </si>
  <si>
    <t>Sahare, Jiaan</t>
  </si>
  <si>
    <t>Jiaan</t>
  </si>
  <si>
    <t>1924197Saini, Vikrant</t>
  </si>
  <si>
    <t>Vikrant</t>
  </si>
  <si>
    <t>Saini, Vikrant</t>
  </si>
  <si>
    <t>Sampath, Pranav</t>
  </si>
  <si>
    <t>Pranav</t>
  </si>
  <si>
    <t>Sandhu, Shehraaz Singh</t>
  </si>
  <si>
    <t>Sapra, Aryan</t>
  </si>
  <si>
    <t>Sarkar, Abhishek</t>
  </si>
  <si>
    <t>Abhishek</t>
  </si>
  <si>
    <t>Sarwar, Mahabub</t>
  </si>
  <si>
    <t>Mahabub</t>
  </si>
  <si>
    <t>Shah, Adit</t>
  </si>
  <si>
    <t>Shah, Karan</t>
  </si>
  <si>
    <t>Shah, Muhammad</t>
  </si>
  <si>
    <t>Shah, Younis S</t>
  </si>
  <si>
    <t>Younis S</t>
  </si>
  <si>
    <t>Abhyudit</t>
  </si>
  <si>
    <t>Shandilya, Abhyudit</t>
  </si>
  <si>
    <t>Sharma, Rikin</t>
  </si>
  <si>
    <t>Rikin</t>
  </si>
  <si>
    <t>Sharma, Soren</t>
  </si>
  <si>
    <t>Soren</t>
  </si>
  <si>
    <t>Sidhu, Jason</t>
  </si>
  <si>
    <t>Singh, Amrinder</t>
  </si>
  <si>
    <t>Amrinder</t>
  </si>
  <si>
    <t>Singh, Harmanjit N</t>
  </si>
  <si>
    <t>Harmanjit N</t>
  </si>
  <si>
    <t>Singh, Harwinder</t>
  </si>
  <si>
    <t>Harwinder</t>
  </si>
  <si>
    <t>Singh, Jagjit</t>
  </si>
  <si>
    <t>Jagjit</t>
  </si>
  <si>
    <t>Singh, Jarnail</t>
  </si>
  <si>
    <t>Jarnail</t>
  </si>
  <si>
    <t>Singh, Kunwardeep</t>
  </si>
  <si>
    <t>Kunwardeep</t>
  </si>
  <si>
    <t>Singh, Manmeet</t>
  </si>
  <si>
    <t>Manmeet</t>
  </si>
  <si>
    <t>Singh, Yuvraj</t>
  </si>
  <si>
    <t>Yuvraj</t>
  </si>
  <si>
    <t>Sirigiri, Nipun</t>
  </si>
  <si>
    <t>Nipun</t>
  </si>
  <si>
    <t>Soni,Shriram Chandra</t>
  </si>
  <si>
    <t>Shriram</t>
  </si>
  <si>
    <t>Sood, Asish</t>
  </si>
  <si>
    <t>Ashish</t>
  </si>
  <si>
    <t>Srivastava, Atharva</t>
  </si>
  <si>
    <t>Atharva</t>
  </si>
  <si>
    <t>Sulaiman, Ammar</t>
  </si>
  <si>
    <t>Tanvir, Shariar</t>
  </si>
  <si>
    <t>Shariar</t>
  </si>
  <si>
    <t>Thakor, Amit</t>
  </si>
  <si>
    <t>Thapa, Aditya</t>
  </si>
  <si>
    <t>Vahora, Shaan</t>
  </si>
  <si>
    <t>Shaan</t>
  </si>
  <si>
    <t>Vaishnav, Aarya</t>
  </si>
  <si>
    <t>Aarya</t>
  </si>
  <si>
    <t>Vaishnav, Shaurya</t>
  </si>
  <si>
    <t>Shaurya</t>
  </si>
  <si>
    <t>Verma, Ishaan</t>
  </si>
  <si>
    <t>Ishaan</t>
  </si>
  <si>
    <t>Anwar, Muhammad Affan</t>
  </si>
  <si>
    <t>Akhtari, Mohsin Ali</t>
  </si>
  <si>
    <t>Zaid</t>
  </si>
  <si>
    <t>1/68</t>
  </si>
  <si>
    <t>3/4</t>
  </si>
  <si>
    <t>2/69</t>
  </si>
  <si>
    <t>1/20</t>
  </si>
  <si>
    <t>0/11</t>
  </si>
  <si>
    <t>6/4</t>
  </si>
  <si>
    <t>6/20</t>
  </si>
  <si>
    <t>1/30</t>
  </si>
  <si>
    <t>5/2</t>
  </si>
  <si>
    <t>7/40</t>
  </si>
  <si>
    <t>3/13</t>
  </si>
  <si>
    <t>0/29</t>
  </si>
  <si>
    <t>0/13</t>
  </si>
  <si>
    <t>2/36</t>
  </si>
  <si>
    <t>2/30</t>
  </si>
  <si>
    <t>7/18</t>
  </si>
  <si>
    <t>3/14</t>
  </si>
  <si>
    <t>4/4</t>
  </si>
  <si>
    <t>4/11</t>
  </si>
  <si>
    <t>0/2</t>
  </si>
  <si>
    <t>2/25</t>
  </si>
  <si>
    <t>0/24</t>
  </si>
  <si>
    <t>2/46</t>
  </si>
  <si>
    <t>1/45</t>
  </si>
  <si>
    <t>5/28</t>
  </si>
  <si>
    <t>2/5</t>
  </si>
  <si>
    <t>3/0</t>
  </si>
  <si>
    <t>0/19</t>
  </si>
  <si>
    <t>6/54</t>
  </si>
  <si>
    <t>Bari, Fatima Sherjil</t>
  </si>
  <si>
    <t>Fatima</t>
  </si>
  <si>
    <t>Adnan, Abdul Moiz</t>
  </si>
  <si>
    <t>Abdul</t>
  </si>
  <si>
    <t>Adnan, Haya</t>
  </si>
  <si>
    <t>Haya</t>
  </si>
  <si>
    <t>Affan, Seenan I</t>
  </si>
  <si>
    <t>Seenan</t>
  </si>
  <si>
    <t>Agarwal, Anshum</t>
  </si>
  <si>
    <t>Anshum</t>
  </si>
  <si>
    <t>Aiyer, Abinav</t>
  </si>
  <si>
    <t>Abinav</t>
  </si>
  <si>
    <t>Alam, Nehan</t>
  </si>
  <si>
    <t>Nehan</t>
  </si>
  <si>
    <t>Antony, Alan P</t>
  </si>
  <si>
    <t>Baig, Mohd N</t>
  </si>
  <si>
    <t>Mohd</t>
  </si>
  <si>
    <t>Balakrishnan, Gukul</t>
  </si>
  <si>
    <t>Gokul</t>
  </si>
  <si>
    <t>Barkat, Elizabeth</t>
  </si>
  <si>
    <t>Elizabeth</t>
  </si>
  <si>
    <t>Bhatnagar, Shaurya</t>
  </si>
  <si>
    <t>Boreddy, Advith R</t>
  </si>
  <si>
    <t>Advith</t>
  </si>
  <si>
    <t>Brar, Mehargeen, Kaur</t>
  </si>
  <si>
    <t>Mehargeen</t>
  </si>
  <si>
    <t>Butt, Abubakar</t>
  </si>
  <si>
    <t>Abubakar</t>
  </si>
  <si>
    <t>Christian, Arpan</t>
  </si>
  <si>
    <t>Arpan</t>
  </si>
  <si>
    <t>Dalal, Ravinder</t>
  </si>
  <si>
    <t>Das Simon, Aneesh</t>
  </si>
  <si>
    <t>Aneesh</t>
  </si>
  <si>
    <t>Desai, Nand</t>
  </si>
  <si>
    <t>Nand</t>
  </si>
  <si>
    <t>Dharnidharka, Rohit G</t>
  </si>
  <si>
    <t>D'souza, Alistair</t>
  </si>
  <si>
    <t>Alistair</t>
  </si>
  <si>
    <t>Faisal, Rania</t>
  </si>
  <si>
    <t>Rania</t>
  </si>
  <si>
    <t>Garg, Amit</t>
  </si>
  <si>
    <t>Gilmore, Andrew</t>
  </si>
  <si>
    <t>Gir, Aishleen</t>
  </si>
  <si>
    <t>Aishleen</t>
  </si>
  <si>
    <t>Giripragada, Aneesh</t>
  </si>
  <si>
    <t>Haider, Syed T</t>
  </si>
  <si>
    <t>Syed T</t>
  </si>
  <si>
    <t>Jain, Shrajit</t>
  </si>
  <si>
    <t>Shrajit</t>
  </si>
  <si>
    <t>Jain, Vipul</t>
  </si>
  <si>
    <t>Jebara, Youssef</t>
  </si>
  <si>
    <t>Youssef</t>
  </si>
  <si>
    <t>Kamatchi Sundaram, Krishnakumar</t>
  </si>
  <si>
    <t>Krishnakumar</t>
  </si>
  <si>
    <t>Kamboj, Lovekesh</t>
  </si>
  <si>
    <t>Lovekesh</t>
  </si>
  <si>
    <t>Kamboj, Vishesh</t>
  </si>
  <si>
    <t>Vishesh</t>
  </si>
  <si>
    <t>Kelleher, Daniel</t>
  </si>
  <si>
    <t>Khan, Omar</t>
  </si>
  <si>
    <t>Khan, Zara</t>
  </si>
  <si>
    <t>Zara</t>
  </si>
  <si>
    <t>Kumar, Bijay</t>
  </si>
  <si>
    <t>Bijay</t>
  </si>
  <si>
    <t>Kumar, Dasouju Jeevan</t>
  </si>
  <si>
    <t>Dasouju</t>
  </si>
  <si>
    <t>Kumar, Yogesh</t>
  </si>
  <si>
    <t>Kurety, Ranjith T</t>
  </si>
  <si>
    <t>Ranjith</t>
  </si>
  <si>
    <t>Lokhande, Akshay</t>
  </si>
  <si>
    <t>Akshay</t>
  </si>
  <si>
    <t>Madhurakavi, Vidhath</t>
  </si>
  <si>
    <t>Mallam, Karthik</t>
  </si>
  <si>
    <t>Karthik</t>
  </si>
  <si>
    <t>Manjure, Akshay A</t>
  </si>
  <si>
    <t>Mathan, Smrti Riya</t>
  </si>
  <si>
    <t>Smrti Riya</t>
  </si>
  <si>
    <t>Name (Surname, Given)</t>
  </si>
  <si>
    <t>Mehra, Sukrit</t>
  </si>
  <si>
    <t>Sukrit</t>
  </si>
  <si>
    <t>Mendiratta, Dinesh</t>
  </si>
  <si>
    <t>Dinesh</t>
  </si>
  <si>
    <t>Mohsin, Abdullah</t>
  </si>
  <si>
    <t>Muhammad, Raza</t>
  </si>
  <si>
    <t>Raza</t>
  </si>
  <si>
    <t>Mujtaba,Hammad</t>
  </si>
  <si>
    <t>Hammad</t>
  </si>
  <si>
    <t>Narahari, Nikhil Reddy</t>
  </si>
  <si>
    <t>Meerab</t>
  </si>
  <si>
    <t>Pai, Manav</t>
  </si>
  <si>
    <t>Manav</t>
  </si>
  <si>
    <t>Pai, Pranav</t>
  </si>
  <si>
    <t>Parekh, Tanishq</t>
  </si>
  <si>
    <t>Tanishq</t>
  </si>
  <si>
    <t>Ray, Manav V</t>
  </si>
  <si>
    <t>Raza, Ahmed</t>
  </si>
  <si>
    <t>Reddy, Tanishka</t>
  </si>
  <si>
    <t>Tanishka</t>
  </si>
  <si>
    <t>Hibba</t>
  </si>
  <si>
    <t>Sadana, Nishchay</t>
  </si>
  <si>
    <t>Nishchay</t>
  </si>
  <si>
    <t>Shehraaz</t>
  </si>
  <si>
    <t>Sangwan, Virender</t>
  </si>
  <si>
    <t>Sarwar, Adnan</t>
  </si>
  <si>
    <t>Adnan</t>
  </si>
  <si>
    <t>Sarwar, Bilawal</t>
  </si>
  <si>
    <t>Bilawal</t>
  </si>
  <si>
    <t>Saxena, Ishul</t>
  </si>
  <si>
    <t>Ishul</t>
  </si>
  <si>
    <t>Shah, Kiaan</t>
  </si>
  <si>
    <t>Kiaan</t>
  </si>
  <si>
    <t>Shaik, Lateef</t>
  </si>
  <si>
    <t>Lateef</t>
  </si>
  <si>
    <t>Sharma, Chaitanya</t>
  </si>
  <si>
    <t>Chaitanya</t>
  </si>
  <si>
    <t>Sharma, Nishant</t>
  </si>
  <si>
    <t>Nishant</t>
  </si>
  <si>
    <t>Amanpreet</t>
  </si>
  <si>
    <t>Singh, Daya</t>
  </si>
  <si>
    <t>Daya</t>
  </si>
  <si>
    <t>Singh, Gurvir</t>
  </si>
  <si>
    <t>Gurvir</t>
  </si>
  <si>
    <t>Singh, Inderpal</t>
  </si>
  <si>
    <t>Inderpal</t>
  </si>
  <si>
    <t>Singh, Jaireet</t>
  </si>
  <si>
    <t>Jaireet</t>
  </si>
  <si>
    <t>Singh, Kamaljeet</t>
  </si>
  <si>
    <t>Kamaljeet</t>
  </si>
  <si>
    <t>Singh, Prince Pal</t>
  </si>
  <si>
    <t>Prince</t>
  </si>
  <si>
    <t>Singh, Samarpreet</t>
  </si>
  <si>
    <t>Samarpreet</t>
  </si>
  <si>
    <t>Sitharaman, Srinivasan</t>
  </si>
  <si>
    <t>Srinivasan</t>
  </si>
  <si>
    <t>Srinivasan, Siddharth</t>
  </si>
  <si>
    <t>Siddharth</t>
  </si>
  <si>
    <t>Subash Chandra Bose, Sanjay</t>
  </si>
  <si>
    <t>Sanjay</t>
  </si>
  <si>
    <t>Subramaniam, Anantha K</t>
  </si>
  <si>
    <t>Anantha</t>
  </si>
  <si>
    <t>Sudan, Nitish</t>
  </si>
  <si>
    <t>Suresh, Sudharsan</t>
  </si>
  <si>
    <t>Sudharsan</t>
  </si>
  <si>
    <t>Syed, Mahad</t>
  </si>
  <si>
    <t>Mahad</t>
  </si>
  <si>
    <t>Tanyyala, Anirudh</t>
  </si>
  <si>
    <t>Tipu, Khaled Hasan</t>
  </si>
  <si>
    <t>Uirab, Cecil</t>
  </si>
  <si>
    <t>Cecil</t>
  </si>
  <si>
    <t>Vallinayagam, Hariharasuthan</t>
  </si>
  <si>
    <t>Hariharasuthan</t>
  </si>
  <si>
    <t>Verghese, Agnel T</t>
  </si>
  <si>
    <t>Agnel</t>
  </si>
  <si>
    <t>Vijayan, Ragavan</t>
  </si>
  <si>
    <t>Ragavan</t>
  </si>
  <si>
    <t>Virk, Varinder Singh</t>
  </si>
  <si>
    <t>Varinder</t>
  </si>
  <si>
    <t>Zaheer, Mohsin</t>
  </si>
  <si>
    <t>10*</t>
  </si>
  <si>
    <t>Hakko, Issac J</t>
  </si>
  <si>
    <t>Issac J</t>
  </si>
  <si>
    <t>Rehman, Hibba</t>
  </si>
  <si>
    <t>Singh, Amanpreet</t>
  </si>
  <si>
    <t>Suriya, Ashif</t>
  </si>
  <si>
    <t>Ashif</t>
  </si>
  <si>
    <t>151*</t>
  </si>
  <si>
    <t>0/7</t>
  </si>
  <si>
    <t>6/41</t>
  </si>
  <si>
    <t>3/27</t>
  </si>
  <si>
    <t>5/34</t>
  </si>
  <si>
    <t>Jain, Vaibhaav</t>
  </si>
  <si>
    <t>2/29</t>
  </si>
  <si>
    <t>5/3</t>
  </si>
  <si>
    <t>2/0</t>
  </si>
  <si>
    <t>1/28</t>
  </si>
  <si>
    <t>2/24</t>
  </si>
  <si>
    <t>6/7</t>
  </si>
  <si>
    <t>3/32</t>
  </si>
  <si>
    <t>7/31</t>
  </si>
  <si>
    <t>4/7</t>
  </si>
  <si>
    <t>7/23</t>
  </si>
  <si>
    <t>3/55</t>
  </si>
  <si>
    <t>1/16</t>
  </si>
  <si>
    <t>6/24</t>
  </si>
  <si>
    <t>5/8</t>
  </si>
  <si>
    <t>Macfarlane, Tim</t>
  </si>
  <si>
    <t>6/1</t>
  </si>
  <si>
    <t>Marathos, Yanni</t>
  </si>
  <si>
    <t>Yanni</t>
  </si>
  <si>
    <t>Singh, Bhupinder</t>
  </si>
  <si>
    <t>Bhupinder</t>
  </si>
  <si>
    <t>1/29</t>
  </si>
  <si>
    <t>Kamboj, Ajay</t>
  </si>
  <si>
    <t>Ajay</t>
  </si>
  <si>
    <t>Kamboj, Ankit</t>
  </si>
  <si>
    <t>Raza, Abbas</t>
  </si>
  <si>
    <t>Abbas</t>
  </si>
  <si>
    <t>3/36</t>
  </si>
  <si>
    <t>Siddique, Abubaker</t>
  </si>
  <si>
    <t>Abubaker</t>
  </si>
  <si>
    <t>4/32</t>
  </si>
  <si>
    <t>Kumar, Vishant</t>
  </si>
  <si>
    <t>Vishant</t>
  </si>
  <si>
    <t>2/23</t>
  </si>
  <si>
    <t>6/11</t>
  </si>
  <si>
    <t>Mehla, Rajeev</t>
  </si>
  <si>
    <t>Rajeev</t>
  </si>
  <si>
    <t>Boora, Mandeep K</t>
  </si>
  <si>
    <t>Mandeep</t>
  </si>
  <si>
    <t>Singh, Navneet</t>
  </si>
  <si>
    <t>Navneet</t>
  </si>
  <si>
    <t>3/23</t>
  </si>
  <si>
    <t>Bodla, Pardeep</t>
  </si>
  <si>
    <t>Pardeep</t>
  </si>
  <si>
    <t>2269127`</t>
  </si>
  <si>
    <t>4/29</t>
  </si>
  <si>
    <t>Aakash, Ajith</t>
  </si>
  <si>
    <t>Ajith</t>
  </si>
  <si>
    <t>Kiritharan, Abilaash</t>
  </si>
  <si>
    <t>Abilaash</t>
  </si>
  <si>
    <t>Sinha, Shrihan</t>
  </si>
  <si>
    <t>Shrihan</t>
  </si>
  <si>
    <t>Mistry, Krish</t>
  </si>
  <si>
    <t>Krish</t>
  </si>
  <si>
    <t>4/1</t>
  </si>
  <si>
    <t>Sharma, Vidith</t>
  </si>
  <si>
    <t>Vidith</t>
  </si>
  <si>
    <t>3/5</t>
  </si>
  <si>
    <t>Patel, Dhruvya</t>
  </si>
  <si>
    <t>Dhruvya</t>
  </si>
  <si>
    <t>Patel, Ved</t>
  </si>
  <si>
    <t>Ved</t>
  </si>
  <si>
    <t>Bajpai, Advik</t>
  </si>
  <si>
    <t>Advik</t>
  </si>
  <si>
    <t>Keraliya, Mihit</t>
  </si>
  <si>
    <t>Mihit</t>
  </si>
  <si>
    <t>Ashok, Rithvik</t>
  </si>
  <si>
    <t>Rithvik</t>
  </si>
  <si>
    <t>Khan, Ismael</t>
  </si>
  <si>
    <t>Ismael</t>
  </si>
  <si>
    <t>Rajiv, Pranav</t>
  </si>
  <si>
    <t>Kahlon, Sehajpreet Singh</t>
  </si>
  <si>
    <t>Sehajpreet</t>
  </si>
  <si>
    <t>Satia, Ram</t>
  </si>
  <si>
    <t>Ram</t>
  </si>
  <si>
    <t>Rehman, Rehan</t>
  </si>
  <si>
    <t>Rehan</t>
  </si>
  <si>
    <t>Karki, Sid</t>
  </si>
  <si>
    <t>Sid</t>
  </si>
  <si>
    <t>Sheokand, Samarveer</t>
  </si>
  <si>
    <t>Samarveer</t>
  </si>
  <si>
    <t>Zeeshan, Mukaram</t>
  </si>
  <si>
    <t>Mukaram</t>
  </si>
  <si>
    <t>Zeeshan, Mubaram</t>
  </si>
  <si>
    <t>Mubaram</t>
  </si>
  <si>
    <t>Raghuvanshi, Shobin</t>
  </si>
  <si>
    <t>Shobin</t>
  </si>
  <si>
    <t>Thapa, Hari Lal</t>
  </si>
  <si>
    <t>Hari Lal</t>
  </si>
  <si>
    <t>1/40</t>
  </si>
  <si>
    <t>43+11</t>
  </si>
  <si>
    <t>35*</t>
  </si>
  <si>
    <t>Kerur, Arun</t>
  </si>
  <si>
    <t>Arun</t>
  </si>
  <si>
    <t>Harford, Luke</t>
  </si>
  <si>
    <t>Makan, Dhanush</t>
  </si>
  <si>
    <t>Dhanush</t>
  </si>
  <si>
    <t>Patel, Bhavik</t>
  </si>
  <si>
    <t>Bhavik</t>
  </si>
  <si>
    <t>Pithyou, Logan</t>
  </si>
  <si>
    <t>Logan</t>
  </si>
  <si>
    <t>Umer</t>
  </si>
  <si>
    <t>Bilal, Jahanzeb</t>
  </si>
  <si>
    <t>Jahanzeb</t>
  </si>
  <si>
    <t>Krishnamoorthy, Balasubramaniyan</t>
  </si>
  <si>
    <t>Balasubramaniyan</t>
  </si>
  <si>
    <t>Ulhaq, Imran</t>
  </si>
  <si>
    <t>Imran</t>
  </si>
  <si>
    <t>1/25</t>
  </si>
  <si>
    <t>Subramaniam, Rajesh</t>
  </si>
  <si>
    <t>Mardan, Ali</t>
  </si>
  <si>
    <t>Khan, Shafiq</t>
  </si>
  <si>
    <t>Shafiq</t>
  </si>
  <si>
    <t>Malik, Narender Singh</t>
  </si>
  <si>
    <t>Narender</t>
  </si>
  <si>
    <t>Spencer, Blake</t>
  </si>
  <si>
    <t>Lucisano, Daniel</t>
  </si>
  <si>
    <t>Nazir, Tahir</t>
  </si>
  <si>
    <t>Tahir</t>
  </si>
  <si>
    <t>Tani, Tarun</t>
  </si>
  <si>
    <t>Arsalan, Ali</t>
  </si>
  <si>
    <t>Salman, Muhammad</t>
  </si>
  <si>
    <t>Latif, Babar</t>
  </si>
  <si>
    <t>Babar</t>
  </si>
  <si>
    <t>Gandhi, Vivaan</t>
  </si>
  <si>
    <t>3/29</t>
  </si>
  <si>
    <t>Chopra, Karan</t>
  </si>
  <si>
    <t>Karki, Gautam</t>
  </si>
  <si>
    <t>Gautam</t>
  </si>
  <si>
    <t>Parikh, Vishal</t>
  </si>
  <si>
    <t>Mehta, Ronak</t>
  </si>
  <si>
    <t>Ronak</t>
  </si>
  <si>
    <t>Sharma, Aman</t>
  </si>
  <si>
    <t>Sanger, Gaurav</t>
  </si>
  <si>
    <t>Gaurav</t>
  </si>
  <si>
    <t>4/17</t>
  </si>
  <si>
    <t>Rehaan, Vinod</t>
  </si>
  <si>
    <t>Vinod</t>
  </si>
  <si>
    <t>Singh, Millind S</t>
  </si>
  <si>
    <t>Millind</t>
  </si>
  <si>
    <t>Khanna, Brij</t>
  </si>
  <si>
    <t>Brij</t>
  </si>
  <si>
    <t>Singh, Kulwinder</t>
  </si>
  <si>
    <t>Kulwinder</t>
  </si>
  <si>
    <t>Soni, Munish K</t>
  </si>
  <si>
    <t>Sharma, Nitin</t>
  </si>
  <si>
    <t>Nitin</t>
  </si>
  <si>
    <t>Kaushik, Nischal</t>
  </si>
  <si>
    <t>Nischal</t>
  </si>
  <si>
    <t>5/16</t>
  </si>
  <si>
    <t>Singh, Nirmal</t>
  </si>
  <si>
    <t>Nirmal</t>
  </si>
  <si>
    <t>Dhanoa, Dharminder</t>
  </si>
  <si>
    <t>Dharminder</t>
  </si>
  <si>
    <t>2/20</t>
  </si>
  <si>
    <t>Reddy, Tanvika</t>
  </si>
  <si>
    <t>Tanvika</t>
  </si>
  <si>
    <t>Thapaliya, Bijisha</t>
  </si>
  <si>
    <t>Bijisha</t>
  </si>
  <si>
    <t>Tharmanesan, Avilash</t>
  </si>
  <si>
    <t>Avilash</t>
  </si>
  <si>
    <t>38*</t>
  </si>
  <si>
    <t>Grover, Vansh</t>
  </si>
  <si>
    <t>Vansh</t>
  </si>
  <si>
    <t>Moturi, Asmith</t>
  </si>
  <si>
    <t>Asmith</t>
  </si>
  <si>
    <t>Patel, Preet</t>
  </si>
  <si>
    <t>Preet</t>
  </si>
  <si>
    <t>Challa, Sai</t>
  </si>
  <si>
    <t>Singh Dadwal, Yuvraj</t>
  </si>
  <si>
    <r>
      <t>Season 1968/1969 to</t>
    </r>
    <r>
      <rPr>
        <b/>
        <sz val="14"/>
        <color indexed="10"/>
        <rFont val="Arial"/>
        <family val="2"/>
      </rPr>
      <t xml:space="preserve"> 2022/2023</t>
    </r>
  </si>
  <si>
    <t>Kaira, Abhishek</t>
  </si>
  <si>
    <t>Sardana, Aditya</t>
  </si>
  <si>
    <t>Rakhra, Balwinder</t>
  </si>
  <si>
    <t>Balwinder</t>
  </si>
  <si>
    <t>2/21</t>
  </si>
  <si>
    <t>Singh Kahlon, Gurpreet</t>
  </si>
  <si>
    <t>Gurpreet</t>
  </si>
  <si>
    <t>2/31</t>
  </si>
  <si>
    <t>Sond, Manpreet</t>
  </si>
  <si>
    <t>Manpreet</t>
  </si>
  <si>
    <t>Kumar, Mukesh</t>
  </si>
  <si>
    <t>Mukesh</t>
  </si>
  <si>
    <t>Kumar, Raman</t>
  </si>
  <si>
    <t>Raman</t>
  </si>
  <si>
    <t>Chopra, Ronny</t>
  </si>
  <si>
    <t>Singh, Satnam</t>
  </si>
  <si>
    <t>Satnam</t>
  </si>
  <si>
    <t>4/28</t>
  </si>
  <si>
    <t>Gora, Sawan</t>
  </si>
  <si>
    <t>Sawan</t>
  </si>
  <si>
    <t>Walia, Vaidhav</t>
  </si>
  <si>
    <t>Sharma, Vanshul</t>
  </si>
  <si>
    <t>Vanshul</t>
  </si>
  <si>
    <t>8/40</t>
  </si>
  <si>
    <t>Verma, Lovedeep</t>
  </si>
  <si>
    <t>Grant, Simon</t>
  </si>
  <si>
    <t>Jagdale, Akshay</t>
  </si>
  <si>
    <t>Malik, Mayank</t>
  </si>
  <si>
    <t>Mayank</t>
  </si>
  <si>
    <t>Ali, Muhammad</t>
  </si>
  <si>
    <t>Singh, Pradeep</t>
  </si>
  <si>
    <t>3/34</t>
  </si>
  <si>
    <t>Kumar Kurety, Ranjith</t>
  </si>
  <si>
    <t>Basnet, Ritesh</t>
  </si>
  <si>
    <t>Ritesh</t>
  </si>
  <si>
    <t>Mittapally, Sravan</t>
  </si>
  <si>
    <t>Sravan</t>
  </si>
  <si>
    <t>2/27</t>
  </si>
  <si>
    <t>Eldhose, Elson</t>
  </si>
  <si>
    <t>Elson</t>
  </si>
  <si>
    <t>Nasary, Fairdoon</t>
  </si>
  <si>
    <t>Fairdoon</t>
  </si>
  <si>
    <t>Khaled</t>
  </si>
  <si>
    <t>Sharma, Money</t>
  </si>
  <si>
    <t>Money</t>
  </si>
  <si>
    <t>Singh, Pardeep</t>
  </si>
  <si>
    <t>Dasgupta, Pritam</t>
  </si>
  <si>
    <t>Pritam</t>
  </si>
  <si>
    <t>Chanda, Shubhra</t>
  </si>
  <si>
    <t>Shubhra</t>
  </si>
  <si>
    <t>Khalid, Arslan</t>
  </si>
  <si>
    <t>Arslan</t>
  </si>
  <si>
    <t>1/34</t>
  </si>
  <si>
    <t>Kannan, Harinath</t>
  </si>
  <si>
    <t>Harinath</t>
  </si>
  <si>
    <t>Mian</t>
  </si>
  <si>
    <t>Shaikh Ali Mardan, Mian</t>
  </si>
  <si>
    <t>Fahad Ashfaq, Muhammad</t>
  </si>
  <si>
    <t>Hassan Kashif, Muhammad</t>
  </si>
  <si>
    <t>1/19</t>
  </si>
  <si>
    <t xml:space="preserve">Khalid, Muhammad  </t>
  </si>
  <si>
    <t>Sharma, Sumit</t>
  </si>
  <si>
    <t>Ansai, Umer</t>
  </si>
  <si>
    <t>Ansai, Umair</t>
  </si>
  <si>
    <t>Maqbool, Usama</t>
  </si>
  <si>
    <t>Pal Singh, Amit</t>
  </si>
  <si>
    <t>190*</t>
  </si>
  <si>
    <t>Amraiz</t>
  </si>
  <si>
    <t>Hussain, Amraiz</t>
  </si>
  <si>
    <t>6/40</t>
  </si>
  <si>
    <t>6/45</t>
  </si>
  <si>
    <t>Ali, Arman</t>
  </si>
  <si>
    <t>Arman</t>
  </si>
  <si>
    <t>Sahoo, Babul</t>
  </si>
  <si>
    <t>Babul</t>
  </si>
  <si>
    <t>Mukherjee, Joydeep</t>
  </si>
  <si>
    <t>Joydeep</t>
  </si>
  <si>
    <t>Boga, Kiran</t>
  </si>
  <si>
    <t>Kiran</t>
  </si>
  <si>
    <t>Ahmad, Muhammad</t>
  </si>
  <si>
    <t>Abbas, Sammer</t>
  </si>
  <si>
    <t>Sammer</t>
  </si>
  <si>
    <t>Sharma, Chitrak</t>
  </si>
  <si>
    <t>Chitrak</t>
  </si>
  <si>
    <t>3/33</t>
  </si>
  <si>
    <t>4/58</t>
  </si>
  <si>
    <t>6/68</t>
  </si>
  <si>
    <t>Reddy Boreddy, Rajashekar</t>
  </si>
  <si>
    <t>Rajashekar</t>
  </si>
  <si>
    <t>Prasad, Shaneel</t>
  </si>
  <si>
    <t>Shaneel</t>
  </si>
  <si>
    <t>Anand, Aseem</t>
  </si>
  <si>
    <t>Aseem</t>
  </si>
  <si>
    <t>Kuppa Rao, Deepak</t>
  </si>
  <si>
    <t>Sharma, Devprasad</t>
  </si>
  <si>
    <t>Devprasad</t>
  </si>
  <si>
    <t>Sundarsingh, Joel</t>
  </si>
  <si>
    <t>Joel</t>
  </si>
  <si>
    <t>Ravi, Karthik</t>
  </si>
  <si>
    <t>Veluchamy, Karthikeyan</t>
  </si>
  <si>
    <t>Karthikeyan</t>
  </si>
  <si>
    <t xml:space="preserve">Balu, Navin Nirmall </t>
  </si>
  <si>
    <t xml:space="preserve">Udayakumar, Niranjan </t>
  </si>
  <si>
    <t>Niranjan</t>
  </si>
  <si>
    <t>Selvan, Nirmal Raj</t>
  </si>
  <si>
    <t>Nrimal</t>
  </si>
  <si>
    <t>Subra, Rajesh</t>
  </si>
  <si>
    <t>Thiru, Selva</t>
  </si>
  <si>
    <t>Selva</t>
  </si>
  <si>
    <t>Sekar, Sivamani</t>
  </si>
  <si>
    <t>Sivamani</t>
  </si>
  <si>
    <t>2/44</t>
  </si>
  <si>
    <t>Ginna, Achyuth</t>
  </si>
  <si>
    <t>Achyuth</t>
  </si>
  <si>
    <t>Thumma, Arun Reddy</t>
  </si>
  <si>
    <t>Bommisetty, Ashok Kumar</t>
  </si>
  <si>
    <t>Ashok</t>
  </si>
  <si>
    <t>Kantala, Dheeraj</t>
  </si>
  <si>
    <t>Dheeraj</t>
  </si>
  <si>
    <t>Balaga, Dileep Kumar</t>
  </si>
  <si>
    <t>Dileep</t>
  </si>
  <si>
    <t>Gali, Hrudayanjaireddy</t>
  </si>
  <si>
    <t>Hrudayanjaireddy</t>
  </si>
  <si>
    <t>Mohammed, Kaleem</t>
  </si>
  <si>
    <t>Kaleem</t>
  </si>
  <si>
    <t>Kandadi, Naveen</t>
  </si>
  <si>
    <t>Maharaju, Ranjithkumar</t>
  </si>
  <si>
    <t>Ranjithkumar</t>
  </si>
  <si>
    <t>Nannapaneni, Rishwanth</t>
  </si>
  <si>
    <t>Rishwanth</t>
  </si>
  <si>
    <t>Mogalla, Sai Gowtam</t>
  </si>
  <si>
    <t>Sama, Swaroop</t>
  </si>
  <si>
    <t>Swaroop</t>
  </si>
  <si>
    <t>Pongulati, Viswa Srijan</t>
  </si>
  <si>
    <t>Viswa</t>
  </si>
  <si>
    <t>Hussain, Zakir</t>
  </si>
  <si>
    <t>Zakir</t>
  </si>
  <si>
    <t>5/41</t>
  </si>
  <si>
    <t>Ali Minhas, Heba</t>
  </si>
  <si>
    <t>Heba</t>
  </si>
  <si>
    <t>Affan, Hiba</t>
  </si>
  <si>
    <t>Hiba</t>
  </si>
  <si>
    <t>Omar Khan, Meerab</t>
  </si>
  <si>
    <t>Jagadesh, Nikitha</t>
  </si>
  <si>
    <t>Nikitha</t>
  </si>
  <si>
    <t>Irfan, Warisha</t>
  </si>
  <si>
    <t>Warisha</t>
  </si>
  <si>
    <t>Hasan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</si>
</sst>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color indexed="1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0" fontId="2" fillId="0" borderId="0" xfId="0" applyFont="1"/>
    <xf numFmtId="0" fontId="6" fillId="0" borderId="0" xfId="0" applyFont="1"/>
    <xf numFmtId="0" fontId="3" fillId="2" borderId="1" xfId="0" applyFont="1" applyFill="1" applyBorder="1"/>
    <xf numFmtId="0" fontId="3" fillId="2" borderId="1" xfId="0" quotePrefix="1" applyFont="1" applyFill="1" applyBorder="1"/>
    <xf numFmtId="0" fontId="3" fillId="2" borderId="0" xfId="0" applyFont="1" applyFill="1"/>
    <xf numFmtId="0" fontId="3" fillId="3" borderId="0" xfId="0" applyFont="1" applyFill="1"/>
    <xf numFmtId="2" fontId="3" fillId="3" borderId="0" xfId="0" applyNumberFormat="1" applyFont="1" applyFill="1"/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right"/>
    </xf>
    <xf numFmtId="2" fontId="3" fillId="3" borderId="1" xfId="0" applyNumberFormat="1" applyFont="1" applyFill="1" applyBorder="1"/>
    <xf numFmtId="0" fontId="3" fillId="3" borderId="1" xfId="0" applyFont="1" applyFill="1" applyBorder="1"/>
    <xf numFmtId="0" fontId="1" fillId="0" borderId="0" xfId="0" applyFont="1"/>
    <xf numFmtId="2" fontId="3" fillId="0" borderId="0" xfId="0" applyNumberFormat="1" applyFont="1"/>
    <xf numFmtId="0" fontId="3" fillId="4" borderId="0" xfId="0" applyFont="1" applyFill="1"/>
    <xf numFmtId="2" fontId="3" fillId="4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2" fontId="3" fillId="4" borderId="1" xfId="0" applyNumberFormat="1" applyFont="1" applyFill="1" applyBorder="1"/>
    <xf numFmtId="0" fontId="3" fillId="4" borderId="1" xfId="0" applyFont="1" applyFill="1" applyBorder="1"/>
    <xf numFmtId="2" fontId="2" fillId="4" borderId="2" xfId="0" applyNumberFormat="1" applyFont="1" applyFill="1" applyBorder="1" applyAlignment="1">
      <alignment horizontal="center"/>
    </xf>
    <xf numFmtId="0" fontId="3" fillId="4" borderId="3" xfId="0" applyFont="1" applyFill="1" applyBorder="1"/>
    <xf numFmtId="2" fontId="3" fillId="4" borderId="4" xfId="0" applyNumberFormat="1" applyFont="1" applyFill="1" applyBorder="1"/>
    <xf numFmtId="0" fontId="3" fillId="3" borderId="3" xfId="0" applyFont="1" applyFill="1" applyBorder="1"/>
    <xf numFmtId="0" fontId="1" fillId="3" borderId="3" xfId="0" applyFont="1" applyFill="1" applyBorder="1"/>
    <xf numFmtId="2" fontId="3" fillId="3" borderId="3" xfId="0" applyNumberFormat="1" applyFont="1" applyFill="1" applyBorder="1"/>
    <xf numFmtId="0" fontId="3" fillId="3" borderId="4" xfId="0" applyFont="1" applyFill="1" applyBorder="1"/>
    <xf numFmtId="0" fontId="3" fillId="2" borderId="3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2" fillId="3" borderId="2" xfId="0" applyFont="1" applyFill="1" applyBorder="1"/>
    <xf numFmtId="0" fontId="2" fillId="4" borderId="2" xfId="0" applyFont="1" applyFill="1" applyBorder="1"/>
    <xf numFmtId="0" fontId="9" fillId="0" borderId="0" xfId="0" applyFont="1"/>
    <xf numFmtId="0" fontId="2" fillId="2" borderId="2" xfId="0" applyFont="1" applyFill="1" applyBorder="1"/>
    <xf numFmtId="0" fontId="2" fillId="0" borderId="1" xfId="0" applyFont="1" applyBorder="1" applyAlignment="1">
      <alignment horizontal="left"/>
    </xf>
    <xf numFmtId="0" fontId="2" fillId="2" borderId="1" xfId="0" applyFont="1" applyFill="1" applyBorder="1"/>
    <xf numFmtId="0" fontId="10" fillId="0" borderId="5" xfId="0" applyFont="1" applyBorder="1"/>
    <xf numFmtId="0" fontId="2" fillId="0" borderId="6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1" fillId="4" borderId="5" xfId="0" applyFont="1" applyFill="1" applyBorder="1" applyAlignment="1">
      <alignment horizontal="right"/>
    </xf>
    <xf numFmtId="0" fontId="11" fillId="4" borderId="6" xfId="0" applyFont="1" applyFill="1" applyBorder="1" applyAlignment="1">
      <alignment horizontal="right"/>
    </xf>
    <xf numFmtId="0" fontId="3" fillId="4" borderId="1" xfId="0" quotePrefix="1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3" fillId="0" borderId="4" xfId="0" quotePrefix="1" applyFont="1" applyBorder="1"/>
    <xf numFmtId="0" fontId="3" fillId="0" borderId="1" xfId="0" quotePrefix="1" applyFont="1" applyBorder="1"/>
    <xf numFmtId="0" fontId="13" fillId="0" borderId="0" xfId="0" applyFont="1" applyAlignment="1">
      <alignment horizontal="left"/>
    </xf>
    <xf numFmtId="0" fontId="13" fillId="0" borderId="0" xfId="0" applyFont="1"/>
    <xf numFmtId="0" fontId="3" fillId="0" borderId="4" xfId="0" quotePrefix="1" applyFont="1" applyBorder="1" applyAlignment="1">
      <alignment horizontal="left"/>
    </xf>
    <xf numFmtId="17" fontId="3" fillId="4" borderId="1" xfId="0" quotePrefix="1" applyNumberFormat="1" applyFont="1" applyFill="1" applyBorder="1" applyAlignment="1">
      <alignment horizontal="right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3" fillId="2" borderId="1" xfId="0" applyFont="1" applyFill="1" applyBorder="1"/>
    <xf numFmtId="0" fontId="13" fillId="3" borderId="1" xfId="0" applyFont="1" applyFill="1" applyBorder="1"/>
    <xf numFmtId="2" fontId="13" fillId="3" borderId="1" xfId="0" applyNumberFormat="1" applyFont="1" applyFill="1" applyBorder="1"/>
    <xf numFmtId="0" fontId="13" fillId="4" borderId="1" xfId="0" applyFont="1" applyFill="1" applyBorder="1"/>
    <xf numFmtId="2" fontId="13" fillId="4" borderId="1" xfId="0" applyNumberFormat="1" applyFont="1" applyFill="1" applyBorder="1"/>
    <xf numFmtId="0" fontId="13" fillId="0" borderId="1" xfId="1" applyFont="1" applyBorder="1"/>
    <xf numFmtId="0" fontId="13" fillId="0" borderId="4" xfId="0" applyFont="1" applyBorder="1" applyAlignment="1">
      <alignment horizontal="left"/>
    </xf>
    <xf numFmtId="0" fontId="13" fillId="4" borderId="1" xfId="0" quotePrefix="1" applyFont="1" applyFill="1" applyBorder="1" applyAlignment="1">
      <alignment horizontal="right"/>
    </xf>
    <xf numFmtId="0" fontId="13" fillId="0" borderId="4" xfId="0" applyFont="1" applyBorder="1"/>
    <xf numFmtId="0" fontId="13" fillId="2" borderId="1" xfId="0" quotePrefix="1" applyFont="1" applyFill="1" applyBorder="1"/>
    <xf numFmtId="0" fontId="13" fillId="0" borderId="1" xfId="0" quotePrefix="1" applyFont="1" applyBorder="1"/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4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7" fontId="13" fillId="4" borderId="1" xfId="0" quotePrefix="1" applyNumberFormat="1" applyFont="1" applyFill="1" applyBorder="1" applyAlignment="1">
      <alignment horizontal="right"/>
    </xf>
    <xf numFmtId="0" fontId="13" fillId="0" borderId="4" xfId="0" quotePrefix="1" applyFont="1" applyBorder="1"/>
    <xf numFmtId="0" fontId="13" fillId="0" borderId="1" xfId="1" quotePrefix="1" applyFont="1" applyBorder="1"/>
    <xf numFmtId="0" fontId="13" fillId="4" borderId="1" xfId="0" applyFont="1" applyFill="1" applyBorder="1" applyAlignment="1">
      <alignment horizontal="right"/>
    </xf>
    <xf numFmtId="0" fontId="13" fillId="0" borderId="4" xfId="0" quotePrefix="1" applyFont="1" applyBorder="1" applyAlignment="1">
      <alignment horizontal="left"/>
    </xf>
    <xf numFmtId="0" fontId="13" fillId="0" borderId="4" xfId="1" quotePrefix="1" applyFont="1" applyBorder="1"/>
    <xf numFmtId="0" fontId="3" fillId="0" borderId="1" xfId="1" applyBorder="1"/>
    <xf numFmtId="0" fontId="3" fillId="0" borderId="4" xfId="1" quotePrefix="1" applyBorder="1"/>
    <xf numFmtId="0" fontId="3" fillId="0" borderId="1" xfId="1" quotePrefix="1" applyBorder="1"/>
    <xf numFmtId="0" fontId="3" fillId="0" borderId="6" xfId="0" applyFont="1" applyBorder="1" applyAlignment="1">
      <alignment horizontal="left"/>
    </xf>
    <xf numFmtId="0" fontId="16" fillId="4" borderId="6" xfId="0" quotePrefix="1" applyFont="1" applyFill="1" applyBorder="1" applyAlignment="1">
      <alignment horizontal="right"/>
    </xf>
    <xf numFmtId="16" fontId="13" fillId="4" borderId="1" xfId="0" quotePrefix="1" applyNumberFormat="1" applyFont="1" applyFill="1" applyBorder="1" applyAlignment="1">
      <alignment horizontal="right"/>
    </xf>
    <xf numFmtId="0" fontId="17" fillId="0" borderId="4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2" borderId="0" xfId="0" applyFont="1" applyFill="1" applyBorder="1"/>
    <xf numFmtId="0" fontId="3" fillId="3" borderId="0" xfId="0" applyFont="1" applyFill="1" applyBorder="1"/>
    <xf numFmtId="0" fontId="13" fillId="3" borderId="0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85"/>
  <sheetViews>
    <sheetView tabSelected="1" zoomScaleNormal="100" workbookViewId="0">
      <pane ySplit="5" topLeftCell="A6" activePane="bottomLeft" state="frozen"/>
      <selection pane="bottomLeft" activeCell="N24" sqref="N24"/>
    </sheetView>
  </sheetViews>
  <sheetFormatPr defaultColWidth="9.140625" defaultRowHeight="12.75" x14ac:dyDescent="0.2"/>
  <cols>
    <col min="1" max="1" width="7.7109375" style="3" customWidth="1"/>
    <col min="2" max="2" width="25.7109375" style="1" customWidth="1"/>
    <col min="3" max="3" width="12.5703125" style="1" customWidth="1"/>
    <col min="4" max="5" width="7.7109375" style="9" customWidth="1"/>
    <col min="6" max="8" width="7.7109375" style="10" customWidth="1"/>
    <col min="9" max="9" width="7.28515625" style="11" customWidth="1"/>
    <col min="10" max="10" width="7.7109375" style="10" customWidth="1"/>
    <col min="11" max="13" width="7.7109375" style="20" customWidth="1"/>
    <col min="14" max="14" width="8.42578125" style="21" bestFit="1" customWidth="1"/>
    <col min="15" max="15" width="7.7109375" style="50" customWidth="1"/>
    <col min="16" max="16384" width="9.140625" style="3"/>
  </cols>
  <sheetData>
    <row r="1" spans="1:15" ht="18" x14ac:dyDescent="0.25">
      <c r="B1" s="70" t="s">
        <v>0</v>
      </c>
      <c r="D1" s="3"/>
      <c r="E1" s="3"/>
      <c r="F1" s="3"/>
      <c r="G1" s="3"/>
      <c r="H1" s="38" t="s">
        <v>2629</v>
      </c>
      <c r="I1" s="19"/>
      <c r="J1" s="3"/>
      <c r="K1" s="3"/>
      <c r="L1" s="3"/>
      <c r="M1" s="3"/>
      <c r="N1" s="19"/>
      <c r="O1" s="46"/>
    </row>
    <row r="2" spans="1:15" ht="15.75" x14ac:dyDescent="0.25">
      <c r="B2" s="71"/>
      <c r="D2" s="3"/>
      <c r="E2" s="3"/>
      <c r="F2" s="3"/>
      <c r="G2" s="3"/>
      <c r="H2" s="18"/>
      <c r="I2" s="19"/>
      <c r="J2" s="3"/>
      <c r="K2" s="3"/>
      <c r="L2" s="3"/>
      <c r="M2" s="3"/>
      <c r="N2" s="19"/>
      <c r="O2" s="46"/>
    </row>
    <row r="3" spans="1:15" ht="15.75" x14ac:dyDescent="0.25">
      <c r="B3" s="71"/>
      <c r="D3" s="3"/>
      <c r="E3" s="3"/>
      <c r="F3" s="3"/>
      <c r="G3" s="3"/>
      <c r="H3" s="18"/>
      <c r="I3" s="19"/>
      <c r="J3" s="3"/>
      <c r="K3" s="3"/>
      <c r="L3" s="3"/>
      <c r="M3" s="3"/>
      <c r="N3" s="19"/>
      <c r="O3" s="46"/>
    </row>
    <row r="4" spans="1:15" ht="15.75" x14ac:dyDescent="0.25">
      <c r="A4" s="42" t="s">
        <v>1297</v>
      </c>
      <c r="B4" s="71"/>
      <c r="D4" s="39" t="s">
        <v>392</v>
      </c>
      <c r="E4" s="33"/>
      <c r="F4" s="36" t="s">
        <v>455</v>
      </c>
      <c r="G4" s="29"/>
      <c r="H4" s="30"/>
      <c r="I4" s="31"/>
      <c r="J4" s="32"/>
      <c r="K4" s="37" t="s">
        <v>456</v>
      </c>
      <c r="L4" s="27"/>
      <c r="M4" s="27"/>
      <c r="N4" s="28"/>
      <c r="O4" s="47" t="s">
        <v>393</v>
      </c>
    </row>
    <row r="5" spans="1:15" s="1" customFormat="1" x14ac:dyDescent="0.2">
      <c r="A5" s="43" t="s">
        <v>1298</v>
      </c>
      <c r="B5" s="40" t="s">
        <v>2366</v>
      </c>
      <c r="C5" s="40" t="s">
        <v>1088</v>
      </c>
      <c r="D5" s="41" t="s">
        <v>457</v>
      </c>
      <c r="E5" s="41" t="s">
        <v>1343</v>
      </c>
      <c r="F5" s="12" t="s">
        <v>1</v>
      </c>
      <c r="G5" s="12" t="s">
        <v>2</v>
      </c>
      <c r="H5" s="12" t="s">
        <v>4</v>
      </c>
      <c r="I5" s="13" t="s">
        <v>5</v>
      </c>
      <c r="J5" s="14" t="s">
        <v>3</v>
      </c>
      <c r="K5" s="22" t="s">
        <v>6</v>
      </c>
      <c r="L5" s="22" t="s">
        <v>7</v>
      </c>
      <c r="M5" s="22" t="s">
        <v>4</v>
      </c>
      <c r="N5" s="26" t="s">
        <v>5</v>
      </c>
      <c r="O5" s="48" t="s">
        <v>1296</v>
      </c>
    </row>
    <row r="6" spans="1:15" s="1" customFormat="1" x14ac:dyDescent="0.2">
      <c r="A6" s="87">
        <v>1750300</v>
      </c>
      <c r="B6" s="35" t="s">
        <v>2505</v>
      </c>
      <c r="C6" s="2" t="s">
        <v>2506</v>
      </c>
      <c r="D6" s="7">
        <v>0</v>
      </c>
      <c r="E6" s="7">
        <v>0</v>
      </c>
      <c r="F6" s="45">
        <v>9</v>
      </c>
      <c r="G6" s="45">
        <v>1</v>
      </c>
      <c r="H6" s="45">
        <v>76</v>
      </c>
      <c r="I6" s="16">
        <f>H6/(F6-G6)</f>
        <v>9.5</v>
      </c>
      <c r="J6" s="17">
        <v>29</v>
      </c>
      <c r="K6" s="44">
        <v>22</v>
      </c>
      <c r="L6" s="44">
        <v>6</v>
      </c>
      <c r="M6" s="44">
        <v>87</v>
      </c>
      <c r="N6" s="24">
        <f>M6/L6</f>
        <v>14.5</v>
      </c>
      <c r="O6" s="88" t="s">
        <v>1617</v>
      </c>
    </row>
    <row r="7" spans="1:15" s="1" customFormat="1" x14ac:dyDescent="0.2">
      <c r="A7" s="84">
        <v>1615356</v>
      </c>
      <c r="B7" s="35" t="s">
        <v>1652</v>
      </c>
      <c r="C7" s="2" t="s">
        <v>1653</v>
      </c>
      <c r="D7" s="7">
        <f>6</f>
        <v>6</v>
      </c>
      <c r="E7" s="7">
        <f>0</f>
        <v>0</v>
      </c>
      <c r="F7" s="17">
        <f>8</f>
        <v>8</v>
      </c>
      <c r="G7" s="17">
        <f>2</f>
        <v>2</v>
      </c>
      <c r="H7" s="17">
        <f>111</f>
        <v>111</v>
      </c>
      <c r="I7" s="16">
        <f>H7/(F7-G7)</f>
        <v>18.5</v>
      </c>
      <c r="J7" s="17" t="s">
        <v>426</v>
      </c>
      <c r="K7" s="25">
        <f>54.4</f>
        <v>54.4</v>
      </c>
      <c r="L7" s="25">
        <f>11</f>
        <v>11</v>
      </c>
      <c r="M7" s="25">
        <f>185</f>
        <v>185</v>
      </c>
      <c r="N7" s="24">
        <f>M7/L7</f>
        <v>16.818181818181817</v>
      </c>
      <c r="O7" s="49" t="s">
        <v>1783</v>
      </c>
    </row>
    <row r="8" spans="1:15" s="53" customFormat="1" x14ac:dyDescent="0.2">
      <c r="A8" s="64"/>
      <c r="B8" s="65" t="s">
        <v>2710</v>
      </c>
      <c r="C8" s="58" t="s">
        <v>2711</v>
      </c>
      <c r="D8" s="59">
        <v>0</v>
      </c>
      <c r="E8" s="59"/>
      <c r="F8" s="60">
        <f>5</f>
        <v>5</v>
      </c>
      <c r="G8" s="60">
        <v>0</v>
      </c>
      <c r="H8" s="60">
        <f>33</f>
        <v>33</v>
      </c>
      <c r="I8" s="61">
        <f>H8/(F8-G8)</f>
        <v>6.6</v>
      </c>
      <c r="J8" s="60">
        <v>16</v>
      </c>
      <c r="K8" s="62">
        <f>9</f>
        <v>9</v>
      </c>
      <c r="L8" s="62">
        <f>1</f>
        <v>1</v>
      </c>
      <c r="M8" s="62">
        <f>60</f>
        <v>60</v>
      </c>
      <c r="N8" s="63">
        <f>M8/L8</f>
        <v>60</v>
      </c>
      <c r="O8" s="66" t="s">
        <v>2471</v>
      </c>
    </row>
    <row r="9" spans="1:15" x14ac:dyDescent="0.2">
      <c r="A9" s="84">
        <v>1044556</v>
      </c>
      <c r="B9" s="35" t="s">
        <v>1654</v>
      </c>
      <c r="C9" s="2" t="s">
        <v>73</v>
      </c>
      <c r="D9" s="7">
        <f>0+0</f>
        <v>0</v>
      </c>
      <c r="E9" s="7">
        <f>0</f>
        <v>0</v>
      </c>
      <c r="F9" s="17">
        <f>11+5+1</f>
        <v>17</v>
      </c>
      <c r="G9" s="17">
        <f>1+1+0</f>
        <v>2</v>
      </c>
      <c r="H9" s="17">
        <f>295+128+16</f>
        <v>439</v>
      </c>
      <c r="I9" s="16">
        <f>H9/(F9-G9)</f>
        <v>29.266666666666666</v>
      </c>
      <c r="J9" s="17">
        <v>79</v>
      </c>
      <c r="K9" s="25">
        <f>55+2+5</f>
        <v>62</v>
      </c>
      <c r="L9" s="25">
        <f>5+0+0</f>
        <v>5</v>
      </c>
      <c r="M9" s="25">
        <f>261+19+36</f>
        <v>316</v>
      </c>
      <c r="N9" s="24">
        <f>M9/L9</f>
        <v>63.2</v>
      </c>
      <c r="O9" s="49" t="s">
        <v>1619</v>
      </c>
    </row>
    <row r="10" spans="1:15" x14ac:dyDescent="0.2">
      <c r="A10" s="2"/>
      <c r="B10" s="34" t="s">
        <v>458</v>
      </c>
      <c r="C10" s="2" t="s">
        <v>39</v>
      </c>
      <c r="D10" s="7">
        <f>2+4+4</f>
        <v>10</v>
      </c>
      <c r="E10" s="7"/>
      <c r="F10" s="17">
        <f>7+12+9</f>
        <v>28</v>
      </c>
      <c r="G10" s="17">
        <f>3+0+1</f>
        <v>4</v>
      </c>
      <c r="H10" s="17">
        <f>85+76+125</f>
        <v>286</v>
      </c>
      <c r="I10" s="16">
        <f>H10/(F10-G10)</f>
        <v>11.916666666666666</v>
      </c>
      <c r="J10" s="17">
        <v>64</v>
      </c>
      <c r="K10" s="25">
        <f>14+24.5+43</f>
        <v>81.5</v>
      </c>
      <c r="L10" s="25">
        <f>3+6+6</f>
        <v>15</v>
      </c>
      <c r="M10" s="25">
        <f>60+109+258</f>
        <v>427</v>
      </c>
      <c r="N10" s="24">
        <f>M10/L10</f>
        <v>28.466666666666665</v>
      </c>
      <c r="O10" s="23"/>
    </row>
    <row r="11" spans="1:15" x14ac:dyDescent="0.2">
      <c r="A11" s="4">
        <v>1291598</v>
      </c>
      <c r="B11" s="51" t="s">
        <v>1488</v>
      </c>
      <c r="C11" s="2" t="s">
        <v>1489</v>
      </c>
      <c r="D11" s="8">
        <f>0+1</f>
        <v>1</v>
      </c>
      <c r="E11" s="7">
        <f>0</f>
        <v>0</v>
      </c>
      <c r="F11" s="17">
        <f>6+5</f>
        <v>11</v>
      </c>
      <c r="G11" s="17">
        <f>1+0</f>
        <v>1</v>
      </c>
      <c r="H11" s="17">
        <f>99+54</f>
        <v>153</v>
      </c>
      <c r="I11" s="16">
        <f>H11/(F11-G11)</f>
        <v>15.3</v>
      </c>
      <c r="J11" s="17">
        <f>30</f>
        <v>30</v>
      </c>
      <c r="K11" s="25">
        <f>59.5+57.7</f>
        <v>117.2</v>
      </c>
      <c r="L11" s="25">
        <f>14+10</f>
        <v>24</v>
      </c>
      <c r="M11" s="25">
        <f>187+160</f>
        <v>347</v>
      </c>
      <c r="N11" s="24">
        <f>M11/L11</f>
        <v>14.458333333333334</v>
      </c>
      <c r="O11" s="49" t="s">
        <v>1497</v>
      </c>
    </row>
    <row r="12" spans="1:15" s="54" customFormat="1" x14ac:dyDescent="0.2">
      <c r="A12" s="4">
        <v>667272</v>
      </c>
      <c r="B12" s="35" t="s">
        <v>1299</v>
      </c>
      <c r="C12" s="2"/>
      <c r="D12" s="7">
        <f>0</f>
        <v>0</v>
      </c>
      <c r="E12" s="7">
        <f>0</f>
        <v>0</v>
      </c>
      <c r="F12" s="15">
        <f>15</f>
        <v>15</v>
      </c>
      <c r="G12" s="15">
        <f>1</f>
        <v>1</v>
      </c>
      <c r="H12" s="15">
        <f>204</f>
        <v>204</v>
      </c>
      <c r="I12" s="16">
        <f>H12/(F12-G12)</f>
        <v>14.571428571428571</v>
      </c>
      <c r="J12" s="17">
        <v>57</v>
      </c>
      <c r="K12" s="23">
        <f>40</f>
        <v>40</v>
      </c>
      <c r="L12" s="23">
        <f>7</f>
        <v>7</v>
      </c>
      <c r="M12" s="25">
        <f>184</f>
        <v>184</v>
      </c>
      <c r="N12" s="24">
        <f>M12/L12</f>
        <v>26.285714285714285</v>
      </c>
      <c r="O12" s="49" t="s">
        <v>1350</v>
      </c>
    </row>
    <row r="13" spans="1:15" s="54" customFormat="1" x14ac:dyDescent="0.2">
      <c r="A13" s="84">
        <v>1725013</v>
      </c>
      <c r="B13" s="35" t="s">
        <v>1655</v>
      </c>
      <c r="C13" s="2" t="s">
        <v>1656</v>
      </c>
      <c r="D13" s="7">
        <f>3+6+1+1+1</f>
        <v>12</v>
      </c>
      <c r="E13" s="7">
        <f>0+0+0</f>
        <v>0</v>
      </c>
      <c r="F13" s="17">
        <f>3+8+6+5</f>
        <v>22</v>
      </c>
      <c r="G13" s="17">
        <f>2+2+3+2+4</f>
        <v>13</v>
      </c>
      <c r="H13" s="17">
        <f>8+22+3+3+8</f>
        <v>44</v>
      </c>
      <c r="I13" s="16">
        <f>H13/(F13-G13)</f>
        <v>4.8888888888888893</v>
      </c>
      <c r="J13" s="17" t="s">
        <v>347</v>
      </c>
      <c r="K13" s="25">
        <f>29+100+105+112+69</f>
        <v>415</v>
      </c>
      <c r="L13" s="25">
        <f>6+14+18+25+16</f>
        <v>79</v>
      </c>
      <c r="M13" s="25">
        <f>78+289+290+263+8</f>
        <v>928</v>
      </c>
      <c r="N13" s="24">
        <f>M13/L13</f>
        <v>11.746835443037975</v>
      </c>
      <c r="O13" s="49" t="s">
        <v>2472</v>
      </c>
    </row>
    <row r="14" spans="1:15" x14ac:dyDescent="0.2">
      <c r="A14" s="2"/>
      <c r="B14" s="35" t="s">
        <v>459</v>
      </c>
      <c r="C14" s="2" t="s">
        <v>36</v>
      </c>
      <c r="D14" s="7">
        <v>4</v>
      </c>
      <c r="E14" s="7"/>
      <c r="F14" s="15">
        <v>5</v>
      </c>
      <c r="G14" s="15">
        <v>2</v>
      </c>
      <c r="H14" s="15">
        <v>27</v>
      </c>
      <c r="I14" s="16">
        <f>H14/(F14-G14)</f>
        <v>9</v>
      </c>
      <c r="J14" s="17" t="s">
        <v>366</v>
      </c>
      <c r="K14" s="23">
        <v>85</v>
      </c>
      <c r="L14" s="23">
        <v>5</v>
      </c>
      <c r="M14" s="23">
        <v>294</v>
      </c>
      <c r="N14" s="24">
        <f>M14/L14</f>
        <v>58.8</v>
      </c>
      <c r="O14" s="23"/>
    </row>
    <row r="15" spans="1:15" x14ac:dyDescent="0.2">
      <c r="A15" s="4"/>
      <c r="B15" s="35" t="s">
        <v>460</v>
      </c>
      <c r="C15" s="2" t="s">
        <v>63</v>
      </c>
      <c r="D15" s="7">
        <v>5</v>
      </c>
      <c r="E15" s="7"/>
      <c r="F15" s="15">
        <v>19</v>
      </c>
      <c r="G15" s="15">
        <v>3</v>
      </c>
      <c r="H15" s="15">
        <v>80</v>
      </c>
      <c r="I15" s="16">
        <f>H15/(F15-G15)</f>
        <v>5</v>
      </c>
      <c r="J15" s="17">
        <v>21</v>
      </c>
      <c r="K15" s="23">
        <v>102</v>
      </c>
      <c r="L15" s="23">
        <v>26</v>
      </c>
      <c r="M15" s="23">
        <v>417</v>
      </c>
      <c r="N15" s="24">
        <f>M15/L15</f>
        <v>16.03846153846154</v>
      </c>
      <c r="O15" s="23"/>
    </row>
    <row r="16" spans="1:15" s="54" customFormat="1" x14ac:dyDescent="0.2">
      <c r="A16" s="4"/>
      <c r="B16" s="35" t="s">
        <v>461</v>
      </c>
      <c r="C16" s="2" t="s">
        <v>175</v>
      </c>
      <c r="D16" s="7">
        <v>1</v>
      </c>
      <c r="E16" s="7"/>
      <c r="F16" s="17">
        <v>6</v>
      </c>
      <c r="G16" s="17">
        <v>1</v>
      </c>
      <c r="H16" s="17">
        <v>34</v>
      </c>
      <c r="I16" s="16">
        <f>H16/(F16-G16)</f>
        <v>6.8</v>
      </c>
      <c r="J16" s="17">
        <v>12</v>
      </c>
      <c r="K16" s="25">
        <v>6</v>
      </c>
      <c r="L16" s="25">
        <v>1</v>
      </c>
      <c r="M16" s="25">
        <v>37</v>
      </c>
      <c r="N16" s="24">
        <f>M16/L16</f>
        <v>37</v>
      </c>
      <c r="O16" s="23"/>
    </row>
    <row r="17" spans="1:15" s="6" customFormat="1" x14ac:dyDescent="0.2">
      <c r="A17" s="84">
        <v>1654865</v>
      </c>
      <c r="B17" s="35" t="s">
        <v>1657</v>
      </c>
      <c r="C17" s="2" t="s">
        <v>1658</v>
      </c>
      <c r="D17" s="7">
        <f>2</f>
        <v>2</v>
      </c>
      <c r="E17" s="7">
        <f>0</f>
        <v>0</v>
      </c>
      <c r="F17" s="17">
        <f>1+4</f>
        <v>5</v>
      </c>
      <c r="G17" s="17">
        <f>0+0</f>
        <v>0</v>
      </c>
      <c r="H17" s="17">
        <f>2+0</f>
        <v>2</v>
      </c>
      <c r="I17" s="16">
        <f>H17/(F17-G17)</f>
        <v>0.4</v>
      </c>
      <c r="J17" s="17">
        <v>2</v>
      </c>
      <c r="K17" s="25">
        <v>2</v>
      </c>
      <c r="L17" s="25">
        <v>1</v>
      </c>
      <c r="M17" s="25">
        <v>18</v>
      </c>
      <c r="N17" s="24">
        <f>M17/L17</f>
        <v>18</v>
      </c>
      <c r="O17" s="49" t="s">
        <v>1784</v>
      </c>
    </row>
    <row r="18" spans="1:15" x14ac:dyDescent="0.2">
      <c r="A18" s="4">
        <v>1046428</v>
      </c>
      <c r="B18" s="35" t="s">
        <v>1300</v>
      </c>
      <c r="C18" s="2" t="s">
        <v>48</v>
      </c>
      <c r="D18" s="7">
        <f>4+1+3+3+2</f>
        <v>13</v>
      </c>
      <c r="E18" s="7">
        <f>0</f>
        <v>0</v>
      </c>
      <c r="F18" s="17">
        <f>12+12+12+7+4</f>
        <v>47</v>
      </c>
      <c r="G18" s="17">
        <f>3+3+2+1+1</f>
        <v>10</v>
      </c>
      <c r="H18" s="17">
        <f>57+22+36+93+6</f>
        <v>214</v>
      </c>
      <c r="I18" s="16">
        <f>H18/(F18-G18)</f>
        <v>5.7837837837837842</v>
      </c>
      <c r="J18" s="17" t="s">
        <v>1611</v>
      </c>
      <c r="K18" s="25">
        <f>2.3+17.4+0.4+24.3+34+22</f>
        <v>100.4</v>
      </c>
      <c r="L18" s="25">
        <f>1+3+4+5+3</f>
        <v>16</v>
      </c>
      <c r="M18" s="25">
        <f>30+100+79+89+81</f>
        <v>379</v>
      </c>
      <c r="N18" s="24">
        <f>M18/L18</f>
        <v>23.6875</v>
      </c>
      <c r="O18" s="49" t="s">
        <v>1617</v>
      </c>
    </row>
    <row r="19" spans="1:15" s="54" customFormat="1" x14ac:dyDescent="0.2">
      <c r="A19" s="4">
        <v>1890056</v>
      </c>
      <c r="B19" s="35" t="s">
        <v>2041</v>
      </c>
      <c r="C19" s="2" t="s">
        <v>2042</v>
      </c>
      <c r="D19" s="7">
        <f>0</f>
        <v>0</v>
      </c>
      <c r="E19" s="7"/>
      <c r="F19" s="17"/>
      <c r="G19" s="17"/>
      <c r="H19" s="17"/>
      <c r="I19" s="16" t="e">
        <f>H19/(F19-G19)</f>
        <v>#DIV/0!</v>
      </c>
      <c r="J19" s="17"/>
      <c r="K19" s="25">
        <f>37</f>
        <v>37</v>
      </c>
      <c r="L19" s="25">
        <f>5</f>
        <v>5</v>
      </c>
      <c r="M19" s="25">
        <f>106</f>
        <v>106</v>
      </c>
      <c r="N19" s="24">
        <f>M19/L19</f>
        <v>21.2</v>
      </c>
      <c r="O19" s="49" t="s">
        <v>1355</v>
      </c>
    </row>
    <row r="20" spans="1:15" x14ac:dyDescent="0.2">
      <c r="A20" s="4"/>
      <c r="B20" s="34" t="s">
        <v>462</v>
      </c>
      <c r="C20" s="2" t="s">
        <v>212</v>
      </c>
      <c r="D20" s="7">
        <f>9+2</f>
        <v>11</v>
      </c>
      <c r="E20" s="7"/>
      <c r="F20" s="17">
        <f>15+13</f>
        <v>28</v>
      </c>
      <c r="G20" s="17">
        <f>1+0</f>
        <v>1</v>
      </c>
      <c r="H20" s="17">
        <f>197+217</f>
        <v>414</v>
      </c>
      <c r="I20" s="16">
        <f>H20/(F20-G20)</f>
        <v>15.333333333333334</v>
      </c>
      <c r="J20" s="17">
        <v>78</v>
      </c>
      <c r="K20" s="25">
        <f>74+65</f>
        <v>139</v>
      </c>
      <c r="L20" s="25">
        <f>25+15</f>
        <v>40</v>
      </c>
      <c r="M20" s="25">
        <f>217+272</f>
        <v>489</v>
      </c>
      <c r="N20" s="24">
        <f>M20/L20</f>
        <v>12.225</v>
      </c>
      <c r="O20" s="23"/>
    </row>
    <row r="21" spans="1:15" x14ac:dyDescent="0.2">
      <c r="A21" s="4">
        <v>2076699</v>
      </c>
      <c r="B21" s="35" t="s">
        <v>2291</v>
      </c>
      <c r="C21" s="2" t="s">
        <v>2292</v>
      </c>
      <c r="D21" s="7">
        <f>0+4</f>
        <v>4</v>
      </c>
      <c r="E21" s="7">
        <f>0+0</f>
        <v>0</v>
      </c>
      <c r="F21" s="17">
        <f>2+6</f>
        <v>8</v>
      </c>
      <c r="G21" s="17">
        <f>2+6</f>
        <v>8</v>
      </c>
      <c r="H21" s="17">
        <f>26+109</f>
        <v>135</v>
      </c>
      <c r="I21" s="16" t="e">
        <f>H21/(F21-G21)</f>
        <v>#DIV/0!</v>
      </c>
      <c r="J21" s="17" t="s">
        <v>274</v>
      </c>
      <c r="K21" s="25">
        <f>11+29</f>
        <v>40</v>
      </c>
      <c r="L21" s="25">
        <f>3+8</f>
        <v>11</v>
      </c>
      <c r="M21" s="25">
        <f>37+110</f>
        <v>147</v>
      </c>
      <c r="N21" s="24">
        <f>M21/L21</f>
        <v>13.363636363636363</v>
      </c>
      <c r="O21" s="49" t="s">
        <v>2513</v>
      </c>
    </row>
    <row r="22" spans="1:15" s="5" customFormat="1" x14ac:dyDescent="0.2">
      <c r="A22" s="4">
        <v>2161785</v>
      </c>
      <c r="B22" s="35" t="s">
        <v>2293</v>
      </c>
      <c r="C22" s="2" t="s">
        <v>2294</v>
      </c>
      <c r="D22" s="7">
        <f>0+4</f>
        <v>4</v>
      </c>
      <c r="E22" s="7">
        <f>0</f>
        <v>0</v>
      </c>
      <c r="F22" s="17">
        <f>3+9</f>
        <v>12</v>
      </c>
      <c r="G22" s="17">
        <f>2+4</f>
        <v>6</v>
      </c>
      <c r="H22" s="17">
        <f>16+49</f>
        <v>65</v>
      </c>
      <c r="I22" s="16">
        <f>H22/(F22-G22)</f>
        <v>10.833333333333334</v>
      </c>
      <c r="J22" s="17">
        <v>11</v>
      </c>
      <c r="K22" s="25">
        <f>7+23</f>
        <v>30</v>
      </c>
      <c r="L22" s="25">
        <f>0+4</f>
        <v>4</v>
      </c>
      <c r="M22" s="25">
        <f>17+83</f>
        <v>100</v>
      </c>
      <c r="N22" s="24">
        <f>M22/L22</f>
        <v>25</v>
      </c>
      <c r="O22" s="49" t="s">
        <v>1353</v>
      </c>
    </row>
    <row r="23" spans="1:15" x14ac:dyDescent="0.2">
      <c r="A23" s="84">
        <v>1615410</v>
      </c>
      <c r="B23" s="35" t="s">
        <v>1659</v>
      </c>
      <c r="C23" s="2" t="s">
        <v>1660</v>
      </c>
      <c r="D23" s="7">
        <f>0</f>
        <v>0</v>
      </c>
      <c r="E23" s="7">
        <f>0</f>
        <v>0</v>
      </c>
      <c r="F23" s="17">
        <f>1+10+10+9</f>
        <v>30</v>
      </c>
      <c r="G23" s="17">
        <f>1+7+2+1</f>
        <v>11</v>
      </c>
      <c r="H23" s="17">
        <f>0+91+21+49</f>
        <v>161</v>
      </c>
      <c r="I23" s="16">
        <f>H23/(F23-G23)</f>
        <v>8.473684210526315</v>
      </c>
      <c r="J23" s="17" t="s">
        <v>420</v>
      </c>
      <c r="K23" s="25">
        <f>8+31+3</f>
        <v>42</v>
      </c>
      <c r="L23" s="25">
        <f>1+17+0</f>
        <v>18</v>
      </c>
      <c r="M23" s="25">
        <f>43+110+11</f>
        <v>164</v>
      </c>
      <c r="N23" s="24">
        <f>M23/L23</f>
        <v>9.1111111111111107</v>
      </c>
      <c r="O23" s="49" t="s">
        <v>2015</v>
      </c>
    </row>
    <row r="24" spans="1:15" x14ac:dyDescent="0.2">
      <c r="A24" s="57"/>
      <c r="B24" s="65" t="s">
        <v>2770</v>
      </c>
      <c r="C24" s="58" t="s">
        <v>2771</v>
      </c>
      <c r="D24" s="59">
        <f>1</f>
        <v>1</v>
      </c>
      <c r="E24" s="59"/>
      <c r="F24" s="60">
        <f>5</f>
        <v>5</v>
      </c>
      <c r="G24" s="60">
        <f>1</f>
        <v>1</v>
      </c>
      <c r="H24" s="60">
        <f>2</f>
        <v>2</v>
      </c>
      <c r="I24" s="61">
        <f>H24/(F24-G24)</f>
        <v>0.5</v>
      </c>
      <c r="J24" s="60">
        <v>1</v>
      </c>
      <c r="K24" s="62">
        <f>14</f>
        <v>14</v>
      </c>
      <c r="L24" s="62">
        <f>0</f>
        <v>0</v>
      </c>
      <c r="M24" s="62">
        <f>117</f>
        <v>117</v>
      </c>
      <c r="N24" s="63"/>
      <c r="O24" s="81"/>
    </row>
    <row r="25" spans="1:15" x14ac:dyDescent="0.2">
      <c r="A25" s="4">
        <v>2075892</v>
      </c>
      <c r="B25" s="35" t="s">
        <v>2295</v>
      </c>
      <c r="C25" s="2" t="s">
        <v>2296</v>
      </c>
      <c r="D25" s="7">
        <f>0+0</f>
        <v>0</v>
      </c>
      <c r="E25" s="7">
        <f>0+0</f>
        <v>0</v>
      </c>
      <c r="F25" s="17">
        <v>6</v>
      </c>
      <c r="G25" s="17">
        <v>3</v>
      </c>
      <c r="H25" s="17">
        <v>11</v>
      </c>
      <c r="I25" s="16">
        <f>H25/(F25-G25)</f>
        <v>3.6666666666666665</v>
      </c>
      <c r="J25" s="17" t="s">
        <v>289</v>
      </c>
      <c r="K25" s="25">
        <f>4+8</f>
        <v>12</v>
      </c>
      <c r="L25" s="25">
        <f>0+0</f>
        <v>0</v>
      </c>
      <c r="M25" s="25">
        <f>15+32</f>
        <v>47</v>
      </c>
      <c r="N25" s="24" t="e">
        <f>M25/L25</f>
        <v>#DIV/0!</v>
      </c>
      <c r="O25" s="49" t="s">
        <v>2455</v>
      </c>
    </row>
    <row r="26" spans="1:15" x14ac:dyDescent="0.2">
      <c r="A26" s="4">
        <v>2056335</v>
      </c>
      <c r="B26" s="35" t="s">
        <v>2297</v>
      </c>
      <c r="C26" s="2" t="s">
        <v>2298</v>
      </c>
      <c r="D26" s="7">
        <f>5</f>
        <v>5</v>
      </c>
      <c r="E26" s="7">
        <f>0</f>
        <v>0</v>
      </c>
      <c r="F26" s="17">
        <f>10</f>
        <v>10</v>
      </c>
      <c r="G26" s="17">
        <f>2</f>
        <v>2</v>
      </c>
      <c r="H26" s="17">
        <f>269</f>
        <v>269</v>
      </c>
      <c r="I26" s="16">
        <f>H26/(F26-G26)</f>
        <v>33.625</v>
      </c>
      <c r="J26" s="17">
        <v>69</v>
      </c>
      <c r="K26" s="25">
        <f>77</f>
        <v>77</v>
      </c>
      <c r="L26" s="25">
        <f>25</f>
        <v>25</v>
      </c>
      <c r="M26" s="25">
        <f>184</f>
        <v>184</v>
      </c>
      <c r="N26" s="24">
        <f>M26/L26</f>
        <v>7.36</v>
      </c>
      <c r="O26" s="49" t="s">
        <v>1461</v>
      </c>
    </row>
    <row r="27" spans="1:15" x14ac:dyDescent="0.2">
      <c r="A27" s="4"/>
      <c r="B27" s="34" t="s">
        <v>463</v>
      </c>
      <c r="C27" s="2" t="s">
        <v>29</v>
      </c>
      <c r="D27" s="7">
        <v>0</v>
      </c>
      <c r="E27" s="7"/>
      <c r="F27" s="17">
        <f>10+1</f>
        <v>11</v>
      </c>
      <c r="G27" s="17">
        <f>0+0</f>
        <v>0</v>
      </c>
      <c r="H27" s="17">
        <f>110+0</f>
        <v>110</v>
      </c>
      <c r="I27" s="16">
        <f>H27/(F27-G27)</f>
        <v>10</v>
      </c>
      <c r="J27" s="17">
        <v>24</v>
      </c>
      <c r="K27" s="25">
        <f>5</f>
        <v>5</v>
      </c>
      <c r="L27" s="25">
        <f>0</f>
        <v>0</v>
      </c>
      <c r="M27" s="25">
        <f>39</f>
        <v>39</v>
      </c>
      <c r="N27" s="24" t="e">
        <f>M27/L27</f>
        <v>#DIV/0!</v>
      </c>
      <c r="O27" s="23"/>
    </row>
    <row r="28" spans="1:15" x14ac:dyDescent="0.2">
      <c r="A28" s="4"/>
      <c r="B28" s="35" t="s">
        <v>464</v>
      </c>
      <c r="C28" s="2" t="s">
        <v>21</v>
      </c>
      <c r="D28" s="7">
        <v>2</v>
      </c>
      <c r="E28" s="7"/>
      <c r="F28" s="17">
        <v>20</v>
      </c>
      <c r="G28" s="17">
        <v>6</v>
      </c>
      <c r="H28" s="17">
        <v>63</v>
      </c>
      <c r="I28" s="16">
        <f>H28/(F28-G28)</f>
        <v>4.5</v>
      </c>
      <c r="J28" s="17"/>
      <c r="K28" s="25">
        <v>22</v>
      </c>
      <c r="L28" s="25">
        <v>2</v>
      </c>
      <c r="M28" s="25">
        <v>65</v>
      </c>
      <c r="N28" s="24">
        <f>M28/L28</f>
        <v>32.5</v>
      </c>
      <c r="O28" s="23"/>
    </row>
    <row r="29" spans="1:15" s="5" customFormat="1" x14ac:dyDescent="0.2">
      <c r="A29" s="4"/>
      <c r="B29" s="35" t="s">
        <v>465</v>
      </c>
      <c r="C29" s="2" t="s">
        <v>19</v>
      </c>
      <c r="D29" s="7">
        <v>3</v>
      </c>
      <c r="E29" s="7"/>
      <c r="F29" s="17">
        <v>21</v>
      </c>
      <c r="G29" s="17">
        <v>11</v>
      </c>
      <c r="H29" s="17">
        <v>63</v>
      </c>
      <c r="I29" s="16">
        <f>H29/(F29-G29)</f>
        <v>6.3</v>
      </c>
      <c r="J29" s="17"/>
      <c r="K29" s="25">
        <v>37</v>
      </c>
      <c r="L29" s="25">
        <v>7</v>
      </c>
      <c r="M29" s="25">
        <v>117</v>
      </c>
      <c r="N29" s="24">
        <f>M29/L29</f>
        <v>16.714285714285715</v>
      </c>
      <c r="O29" s="23"/>
    </row>
    <row r="30" spans="1:15" s="54" customFormat="1" x14ac:dyDescent="0.2">
      <c r="A30" s="4">
        <v>1217327</v>
      </c>
      <c r="B30" s="51" t="s">
        <v>1423</v>
      </c>
      <c r="C30" s="2" t="s">
        <v>1426</v>
      </c>
      <c r="D30" s="7">
        <f>3+0</f>
        <v>3</v>
      </c>
      <c r="E30" s="7">
        <f>0</f>
        <v>0</v>
      </c>
      <c r="F30" s="17">
        <f>3+9</f>
        <v>12</v>
      </c>
      <c r="G30" s="17">
        <f>0+1</f>
        <v>1</v>
      </c>
      <c r="H30" s="17">
        <f>73+134</f>
        <v>207</v>
      </c>
      <c r="I30" s="16">
        <f>H30/(F30-G30)</f>
        <v>18.818181818181817</v>
      </c>
      <c r="J30" s="17">
        <f>58</f>
        <v>58</v>
      </c>
      <c r="K30" s="25">
        <f>6+1</f>
        <v>7</v>
      </c>
      <c r="L30" s="25">
        <f>0+0</f>
        <v>0</v>
      </c>
      <c r="M30" s="25">
        <f>32+10</f>
        <v>42</v>
      </c>
      <c r="N30" s="24" t="e">
        <f>M30/L30</f>
        <v>#DIV/0!</v>
      </c>
      <c r="O30" s="23"/>
    </row>
    <row r="31" spans="1:15" s="54" customFormat="1" x14ac:dyDescent="0.2">
      <c r="A31" s="4">
        <v>1065853</v>
      </c>
      <c r="B31" s="35" t="s">
        <v>1301</v>
      </c>
      <c r="C31" s="2" t="s">
        <v>1490</v>
      </c>
      <c r="D31" s="7">
        <f>1+0</f>
        <v>1</v>
      </c>
      <c r="E31" s="7">
        <f>0</f>
        <v>0</v>
      </c>
      <c r="F31" s="17">
        <f>3+9</f>
        <v>12</v>
      </c>
      <c r="G31" s="17">
        <f>2+2</f>
        <v>4</v>
      </c>
      <c r="H31" s="17">
        <f>0+14</f>
        <v>14</v>
      </c>
      <c r="I31" s="16">
        <f>H31/(F31-G31)</f>
        <v>1.75</v>
      </c>
      <c r="J31" s="17" t="s">
        <v>268</v>
      </c>
      <c r="K31" s="25">
        <f>9</f>
        <v>9</v>
      </c>
      <c r="L31" s="25">
        <f>1</f>
        <v>1</v>
      </c>
      <c r="M31" s="25">
        <f>65</f>
        <v>65</v>
      </c>
      <c r="N31" s="24">
        <f>M31/L31</f>
        <v>65</v>
      </c>
      <c r="O31" s="56" t="s">
        <v>1811</v>
      </c>
    </row>
    <row r="32" spans="1:15" x14ac:dyDescent="0.2">
      <c r="A32" s="4">
        <v>1385050</v>
      </c>
      <c r="B32" s="35" t="s">
        <v>2043</v>
      </c>
      <c r="C32" s="2" t="s">
        <v>2044</v>
      </c>
      <c r="D32" s="7">
        <f>1</f>
        <v>1</v>
      </c>
      <c r="E32" s="7"/>
      <c r="F32" s="17">
        <f>3</f>
        <v>3</v>
      </c>
      <c r="G32" s="17">
        <f>1</f>
        <v>1</v>
      </c>
      <c r="H32" s="17">
        <f>25</f>
        <v>25</v>
      </c>
      <c r="I32" s="16">
        <f>H32/(F32-G32)</f>
        <v>12.5</v>
      </c>
      <c r="J32" s="17">
        <v>13</v>
      </c>
      <c r="K32" s="25"/>
      <c r="L32" s="25"/>
      <c r="M32" s="25"/>
      <c r="N32" s="24" t="e">
        <f>M32/L32</f>
        <v>#DIV/0!</v>
      </c>
      <c r="O32" s="23"/>
    </row>
    <row r="33" spans="1:15" s="54" customFormat="1" x14ac:dyDescent="0.2">
      <c r="A33" s="64"/>
      <c r="B33" s="65" t="s">
        <v>2709</v>
      </c>
      <c r="C33" s="58" t="s">
        <v>1660</v>
      </c>
      <c r="D33" s="59">
        <v>0</v>
      </c>
      <c r="E33" s="59"/>
      <c r="F33" s="60">
        <v>1</v>
      </c>
      <c r="G33" s="60">
        <v>0</v>
      </c>
      <c r="H33" s="60">
        <v>0</v>
      </c>
      <c r="I33" s="61">
        <f>H33/(F33-G33)</f>
        <v>0</v>
      </c>
      <c r="J33" s="60">
        <v>0</v>
      </c>
      <c r="K33" s="62"/>
      <c r="L33" s="62"/>
      <c r="M33" s="62"/>
      <c r="N33" s="63" t="e">
        <f>M33/L33</f>
        <v>#DIV/0!</v>
      </c>
      <c r="O33" s="66"/>
    </row>
    <row r="34" spans="1:15" x14ac:dyDescent="0.2">
      <c r="A34" s="4"/>
      <c r="B34" s="35" t="s">
        <v>466</v>
      </c>
      <c r="C34" s="2" t="s">
        <v>373</v>
      </c>
      <c r="D34" s="7">
        <f>0</f>
        <v>0</v>
      </c>
      <c r="E34" s="7"/>
      <c r="F34" s="17">
        <f>8</f>
        <v>8</v>
      </c>
      <c r="G34" s="17">
        <f>1</f>
        <v>1</v>
      </c>
      <c r="H34" s="17">
        <f>73</f>
        <v>73</v>
      </c>
      <c r="I34" s="16">
        <f>H34/(F34-G34)</f>
        <v>10.428571428571429</v>
      </c>
      <c r="J34" s="17" t="s">
        <v>379</v>
      </c>
      <c r="K34" s="25">
        <f>6</f>
        <v>6</v>
      </c>
      <c r="L34" s="25">
        <f>0</f>
        <v>0</v>
      </c>
      <c r="M34" s="25">
        <f>47</f>
        <v>47</v>
      </c>
      <c r="N34" s="24" t="e">
        <f>M34/L34</f>
        <v>#DIV/0!</v>
      </c>
      <c r="O34" s="23"/>
    </row>
    <row r="35" spans="1:15" x14ac:dyDescent="0.2">
      <c r="A35" s="4">
        <v>1451362</v>
      </c>
      <c r="B35" s="55" t="s">
        <v>1514</v>
      </c>
      <c r="C35" s="2" t="s">
        <v>1521</v>
      </c>
      <c r="D35" s="7">
        <f>3</f>
        <v>3</v>
      </c>
      <c r="E35" s="7">
        <f>0</f>
        <v>0</v>
      </c>
      <c r="F35" s="17">
        <f>4</f>
        <v>4</v>
      </c>
      <c r="G35" s="17">
        <f>0</f>
        <v>0</v>
      </c>
      <c r="H35" s="17">
        <f>182</f>
        <v>182</v>
      </c>
      <c r="I35" s="16">
        <f>H35/(F35-G35)</f>
        <v>45.5</v>
      </c>
      <c r="J35" s="17">
        <v>93</v>
      </c>
      <c r="K35" s="25">
        <v>18</v>
      </c>
      <c r="L35" s="25">
        <v>3</v>
      </c>
      <c r="M35" s="25">
        <v>42</v>
      </c>
      <c r="N35" s="24">
        <f>M35/L35</f>
        <v>14</v>
      </c>
      <c r="O35" s="49" t="s">
        <v>1618</v>
      </c>
    </row>
    <row r="36" spans="1:15" x14ac:dyDescent="0.2">
      <c r="A36" s="4"/>
      <c r="B36" s="35" t="s">
        <v>467</v>
      </c>
      <c r="C36" s="2" t="s">
        <v>70</v>
      </c>
      <c r="D36" s="7">
        <v>6</v>
      </c>
      <c r="E36" s="7"/>
      <c r="F36" s="17">
        <v>14</v>
      </c>
      <c r="G36" s="17">
        <v>5</v>
      </c>
      <c r="H36" s="17">
        <v>32</v>
      </c>
      <c r="I36" s="16">
        <f>H36/(F36-G36)</f>
        <v>3.5555555555555554</v>
      </c>
      <c r="J36" s="17">
        <v>10</v>
      </c>
      <c r="K36" s="25"/>
      <c r="L36" s="25"/>
      <c r="M36" s="25"/>
      <c r="N36" s="24" t="e">
        <f>M36/L36</f>
        <v>#DIV/0!</v>
      </c>
      <c r="O36" s="23"/>
    </row>
    <row r="37" spans="1:15" x14ac:dyDescent="0.2">
      <c r="A37" s="4">
        <v>2031809</v>
      </c>
      <c r="B37" s="35" t="s">
        <v>2299</v>
      </c>
      <c r="C37" s="2" t="s">
        <v>2300</v>
      </c>
      <c r="D37" s="7">
        <f>0+0</f>
        <v>0</v>
      </c>
      <c r="E37" s="7">
        <f>0+0</f>
        <v>0</v>
      </c>
      <c r="F37" s="17">
        <f>12+10</f>
        <v>22</v>
      </c>
      <c r="G37" s="17">
        <f>3+2</f>
        <v>5</v>
      </c>
      <c r="H37" s="17">
        <f>26+41</f>
        <v>67</v>
      </c>
      <c r="I37" s="16">
        <f>H37/(F37-G37)</f>
        <v>3.9411764705882355</v>
      </c>
      <c r="J37" s="17">
        <v>11</v>
      </c>
      <c r="K37" s="25">
        <f>33+32</f>
        <v>65</v>
      </c>
      <c r="L37" s="25">
        <f>5+9</f>
        <v>14</v>
      </c>
      <c r="M37" s="25">
        <f>180+136</f>
        <v>316</v>
      </c>
      <c r="N37" s="24">
        <f>M37/L37</f>
        <v>22.571428571428573</v>
      </c>
      <c r="O37" s="49" t="s">
        <v>1470</v>
      </c>
    </row>
    <row r="38" spans="1:15" s="54" customFormat="1" x14ac:dyDescent="0.2">
      <c r="A38" s="4">
        <v>1907148</v>
      </c>
      <c r="B38" s="35" t="s">
        <v>2045</v>
      </c>
      <c r="C38" s="2" t="s">
        <v>2777</v>
      </c>
      <c r="D38" s="7">
        <f>3+0</f>
        <v>3</v>
      </c>
      <c r="E38" s="7"/>
      <c r="F38" s="17">
        <f>16+4</f>
        <v>20</v>
      </c>
      <c r="G38" s="17">
        <f>8+1</f>
        <v>9</v>
      </c>
      <c r="H38" s="17">
        <f>131+6</f>
        <v>137</v>
      </c>
      <c r="I38" s="16">
        <f>H38/(F38-G38)</f>
        <v>12.454545454545455</v>
      </c>
      <c r="J38" s="17">
        <v>17</v>
      </c>
      <c r="K38" s="25">
        <f>51+13.2</f>
        <v>64.2</v>
      </c>
      <c r="L38" s="25">
        <f>16+4</f>
        <v>20</v>
      </c>
      <c r="M38" s="25">
        <f>175+39</f>
        <v>214</v>
      </c>
      <c r="N38" s="24">
        <f>M38/L38</f>
        <v>10.7</v>
      </c>
      <c r="O38" s="49" t="s">
        <v>2037</v>
      </c>
    </row>
    <row r="39" spans="1:15" s="5" customFormat="1" x14ac:dyDescent="0.2">
      <c r="A39" s="4">
        <v>1907142</v>
      </c>
      <c r="B39" s="35" t="s">
        <v>2258</v>
      </c>
      <c r="C39" s="2" t="s">
        <v>2046</v>
      </c>
      <c r="D39" s="7">
        <f>0+0</f>
        <v>0</v>
      </c>
      <c r="E39" s="7"/>
      <c r="F39" s="17">
        <f>10+4</f>
        <v>14</v>
      </c>
      <c r="G39" s="17">
        <f>2+1</f>
        <v>3</v>
      </c>
      <c r="H39" s="17">
        <f>26+2</f>
        <v>28</v>
      </c>
      <c r="I39" s="16">
        <f>H39/(F39-G39)</f>
        <v>2.5454545454545454</v>
      </c>
      <c r="J39" s="17">
        <v>11</v>
      </c>
      <c r="K39" s="25">
        <f>43+6</f>
        <v>49</v>
      </c>
      <c r="L39" s="25">
        <f>11+2</f>
        <v>13</v>
      </c>
      <c r="M39" s="25">
        <f>143+23</f>
        <v>166</v>
      </c>
      <c r="N39" s="24">
        <f>M39/L39</f>
        <v>12.76923076923077</v>
      </c>
      <c r="O39" s="49" t="s">
        <v>1459</v>
      </c>
    </row>
    <row r="40" spans="1:15" x14ac:dyDescent="0.2">
      <c r="A40" s="4"/>
      <c r="B40" s="34" t="s">
        <v>468</v>
      </c>
      <c r="C40" s="2" t="s">
        <v>114</v>
      </c>
      <c r="D40" s="7">
        <v>25</v>
      </c>
      <c r="E40" s="7"/>
      <c r="F40" s="17">
        <v>102</v>
      </c>
      <c r="G40" s="17">
        <v>11</v>
      </c>
      <c r="H40" s="17">
        <v>1161</v>
      </c>
      <c r="I40" s="16">
        <f>H40/(F40-G40)</f>
        <v>12.758241758241759</v>
      </c>
      <c r="J40" s="17">
        <v>75</v>
      </c>
      <c r="K40" s="25">
        <v>444</v>
      </c>
      <c r="L40" s="25">
        <v>93</v>
      </c>
      <c r="M40" s="25">
        <v>1762</v>
      </c>
      <c r="N40" s="24">
        <f>M40/L40</f>
        <v>18.946236559139784</v>
      </c>
      <c r="O40" s="23"/>
    </row>
    <row r="41" spans="1:15" s="5" customFormat="1" x14ac:dyDescent="0.2">
      <c r="A41" s="4"/>
      <c r="B41" s="34" t="s">
        <v>469</v>
      </c>
      <c r="C41" s="2" t="s">
        <v>327</v>
      </c>
      <c r="D41" s="7">
        <f>8+3+3</f>
        <v>14</v>
      </c>
      <c r="E41" s="7"/>
      <c r="F41" s="17">
        <f>14+7+12</f>
        <v>33</v>
      </c>
      <c r="G41" s="17">
        <f>0+0+1</f>
        <v>1</v>
      </c>
      <c r="H41" s="17">
        <f>376+57+107</f>
        <v>540</v>
      </c>
      <c r="I41" s="16">
        <f>H41/(F41-G41)</f>
        <v>16.875</v>
      </c>
      <c r="J41" s="17">
        <v>71</v>
      </c>
      <c r="K41" s="25">
        <f>2.2+5</f>
        <v>7.2</v>
      </c>
      <c r="L41" s="25">
        <f>0+0</f>
        <v>0</v>
      </c>
      <c r="M41" s="25">
        <f>14+49</f>
        <v>63</v>
      </c>
      <c r="N41" s="24" t="e">
        <f>M41/L41</f>
        <v>#DIV/0!</v>
      </c>
      <c r="O41" s="23"/>
    </row>
    <row r="42" spans="1:15" s="54" customFormat="1" x14ac:dyDescent="0.2">
      <c r="A42" s="4">
        <v>1470875</v>
      </c>
      <c r="B42" s="35" t="s">
        <v>1816</v>
      </c>
      <c r="C42" s="2" t="s">
        <v>1817</v>
      </c>
      <c r="D42" s="7">
        <f>1</f>
        <v>1</v>
      </c>
      <c r="E42" s="7">
        <f>0</f>
        <v>0</v>
      </c>
      <c r="F42" s="17">
        <f>1+1</f>
        <v>2</v>
      </c>
      <c r="G42" s="17">
        <f>0+0</f>
        <v>0</v>
      </c>
      <c r="H42" s="17">
        <f>4</f>
        <v>4</v>
      </c>
      <c r="I42" s="16">
        <f>H42/(F42-G42)</f>
        <v>2</v>
      </c>
      <c r="J42" s="17">
        <v>4</v>
      </c>
      <c r="K42" s="25">
        <f>4</f>
        <v>4</v>
      </c>
      <c r="L42" s="25">
        <f>0</f>
        <v>0</v>
      </c>
      <c r="M42" s="25">
        <f>20</f>
        <v>20</v>
      </c>
      <c r="N42" s="24" t="e">
        <f>M42/L42</f>
        <v>#DIV/0!</v>
      </c>
      <c r="O42" s="23"/>
    </row>
    <row r="43" spans="1:15" s="5" customFormat="1" x14ac:dyDescent="0.2">
      <c r="A43" s="4"/>
      <c r="B43" s="35" t="s">
        <v>470</v>
      </c>
      <c r="C43" s="2" t="s">
        <v>42</v>
      </c>
      <c r="D43" s="7">
        <v>3</v>
      </c>
      <c r="E43" s="7"/>
      <c r="F43" s="17">
        <v>38</v>
      </c>
      <c r="G43" s="17">
        <v>5</v>
      </c>
      <c r="H43" s="17">
        <v>436</v>
      </c>
      <c r="I43" s="16">
        <f>H43/(F43-G43)</f>
        <v>13.212121212121213</v>
      </c>
      <c r="J43" s="17">
        <v>64</v>
      </c>
      <c r="K43" s="25">
        <v>68</v>
      </c>
      <c r="L43" s="25">
        <v>17</v>
      </c>
      <c r="M43" s="25">
        <v>249</v>
      </c>
      <c r="N43" s="24">
        <f>M43/L43</f>
        <v>14.647058823529411</v>
      </c>
      <c r="O43" s="23"/>
    </row>
    <row r="44" spans="1:15" s="54" customFormat="1" x14ac:dyDescent="0.2">
      <c r="A44" s="4">
        <v>2041211</v>
      </c>
      <c r="B44" s="35" t="s">
        <v>2301</v>
      </c>
      <c r="C44" s="2" t="s">
        <v>2302</v>
      </c>
      <c r="D44" s="7">
        <f>0+1</f>
        <v>1</v>
      </c>
      <c r="E44" s="7">
        <f>0+0</f>
        <v>0</v>
      </c>
      <c r="F44" s="17">
        <f>3+5</f>
        <v>8</v>
      </c>
      <c r="G44" s="17">
        <v>1</v>
      </c>
      <c r="H44" s="17">
        <f>6+4</f>
        <v>10</v>
      </c>
      <c r="I44" s="16">
        <f>H44/(F44-G44)</f>
        <v>1.4285714285714286</v>
      </c>
      <c r="J44" s="17" t="s">
        <v>281</v>
      </c>
      <c r="K44" s="25">
        <v>2</v>
      </c>
      <c r="L44" s="25">
        <v>1</v>
      </c>
      <c r="M44" s="25">
        <v>7</v>
      </c>
      <c r="N44" s="24">
        <f>M44/L44</f>
        <v>7</v>
      </c>
      <c r="O44" s="49" t="s">
        <v>1812</v>
      </c>
    </row>
    <row r="45" spans="1:15" x14ac:dyDescent="0.2">
      <c r="A45" s="4">
        <v>1419771</v>
      </c>
      <c r="B45" s="35" t="s">
        <v>1818</v>
      </c>
      <c r="C45" s="2" t="s">
        <v>1521</v>
      </c>
      <c r="D45" s="7">
        <f>1</f>
        <v>1</v>
      </c>
      <c r="E45" s="7">
        <f>0</f>
        <v>0</v>
      </c>
      <c r="F45" s="17">
        <f>3</f>
        <v>3</v>
      </c>
      <c r="G45" s="17">
        <f>1</f>
        <v>1</v>
      </c>
      <c r="H45" s="17">
        <f>72</f>
        <v>72</v>
      </c>
      <c r="I45" s="16">
        <f>H45/(F45-G45)</f>
        <v>36</v>
      </c>
      <c r="J45" s="17" t="s">
        <v>2009</v>
      </c>
      <c r="K45" s="25">
        <f>3</f>
        <v>3</v>
      </c>
      <c r="L45" s="25">
        <f>0</f>
        <v>0</v>
      </c>
      <c r="M45" s="25">
        <f>8</f>
        <v>8</v>
      </c>
      <c r="N45" s="24" t="e">
        <f>M45/L45</f>
        <v>#DIV/0!</v>
      </c>
      <c r="O45" s="49" t="s">
        <v>1634</v>
      </c>
    </row>
    <row r="46" spans="1:15" x14ac:dyDescent="0.2">
      <c r="A46" s="4"/>
      <c r="B46" s="34" t="s">
        <v>471</v>
      </c>
      <c r="C46" s="2" t="s">
        <v>203</v>
      </c>
      <c r="D46" s="7">
        <f>5+1</f>
        <v>6</v>
      </c>
      <c r="E46" s="7"/>
      <c r="F46" s="17">
        <f>10+5</f>
        <v>15</v>
      </c>
      <c r="G46" s="17">
        <f>0+0</f>
        <v>0</v>
      </c>
      <c r="H46" s="17">
        <f>141+52</f>
        <v>193</v>
      </c>
      <c r="I46" s="16">
        <f>H46/(F46-G46)</f>
        <v>12.866666666666667</v>
      </c>
      <c r="J46" s="17">
        <v>46</v>
      </c>
      <c r="K46" s="25">
        <f>60+9</f>
        <v>69</v>
      </c>
      <c r="L46" s="25">
        <f>8+2</f>
        <v>10</v>
      </c>
      <c r="M46" s="25">
        <f>203+36</f>
        <v>239</v>
      </c>
      <c r="N46" s="24">
        <f>M46/L46</f>
        <v>23.9</v>
      </c>
      <c r="O46" s="23"/>
    </row>
    <row r="47" spans="1:15" s="54" customFormat="1" x14ac:dyDescent="0.2">
      <c r="A47" s="4">
        <v>1332098</v>
      </c>
      <c r="B47" s="35" t="s">
        <v>2047</v>
      </c>
      <c r="C47" s="2" t="s">
        <v>2048</v>
      </c>
      <c r="D47" s="7">
        <f>2+1</f>
        <v>3</v>
      </c>
      <c r="E47" s="7"/>
      <c r="F47" s="17">
        <f>6</f>
        <v>6</v>
      </c>
      <c r="G47" s="17">
        <f>4</f>
        <v>4</v>
      </c>
      <c r="H47" s="17">
        <f>7</f>
        <v>7</v>
      </c>
      <c r="I47" s="16">
        <f>H47/(F47-G47)</f>
        <v>3.5</v>
      </c>
      <c r="J47" s="17">
        <v>4</v>
      </c>
      <c r="K47" s="25">
        <f>41.5</f>
        <v>41.5</v>
      </c>
      <c r="L47" s="25">
        <v>10</v>
      </c>
      <c r="M47" s="25">
        <v>126</v>
      </c>
      <c r="N47" s="24">
        <f>M47/L47</f>
        <v>12.6</v>
      </c>
      <c r="O47" s="49" t="s">
        <v>1637</v>
      </c>
    </row>
    <row r="48" spans="1:15" x14ac:dyDescent="0.2">
      <c r="A48" s="4"/>
      <c r="B48" s="35" t="s">
        <v>472</v>
      </c>
      <c r="C48" s="2" t="s">
        <v>15</v>
      </c>
      <c r="D48" s="7">
        <v>1</v>
      </c>
      <c r="E48" s="7"/>
      <c r="F48" s="17">
        <v>2</v>
      </c>
      <c r="G48" s="17">
        <v>0</v>
      </c>
      <c r="H48" s="17">
        <v>2</v>
      </c>
      <c r="I48" s="16">
        <f>H48/(F48-G48)</f>
        <v>1</v>
      </c>
      <c r="J48" s="17">
        <v>2</v>
      </c>
      <c r="K48" s="25">
        <v>2</v>
      </c>
      <c r="L48" s="25">
        <v>1</v>
      </c>
      <c r="M48" s="25">
        <v>8</v>
      </c>
      <c r="N48" s="24">
        <f>M48/L48</f>
        <v>8</v>
      </c>
      <c r="O48" s="23"/>
    </row>
    <row r="49" spans="1:15" s="54" customFormat="1" x14ac:dyDescent="0.2">
      <c r="A49" s="4">
        <v>1869340</v>
      </c>
      <c r="B49" s="35" t="s">
        <v>1819</v>
      </c>
      <c r="C49" s="2" t="s">
        <v>1820</v>
      </c>
      <c r="D49" s="7">
        <f>0</f>
        <v>0</v>
      </c>
      <c r="E49" s="7">
        <f>0</f>
        <v>0</v>
      </c>
      <c r="F49" s="17"/>
      <c r="G49" s="17"/>
      <c r="H49" s="17"/>
      <c r="I49" s="16" t="e">
        <f>H49/(F49-G49)</f>
        <v>#DIV/0!</v>
      </c>
      <c r="J49" s="17"/>
      <c r="K49" s="25"/>
      <c r="L49" s="25"/>
      <c r="M49" s="25"/>
      <c r="N49" s="24" t="e">
        <f>M49/L49</f>
        <v>#DIV/0!</v>
      </c>
      <c r="O49" s="23"/>
    </row>
    <row r="50" spans="1:15" x14ac:dyDescent="0.2">
      <c r="A50" s="4">
        <v>773895</v>
      </c>
      <c r="B50" s="35" t="s">
        <v>1302</v>
      </c>
      <c r="C50" s="2" t="s">
        <v>374</v>
      </c>
      <c r="D50" s="7">
        <f>4+4</f>
        <v>8</v>
      </c>
      <c r="E50" s="7">
        <f>0</f>
        <v>0</v>
      </c>
      <c r="F50" s="17">
        <f>5+15</f>
        <v>20</v>
      </c>
      <c r="G50" s="17">
        <f>4+1</f>
        <v>5</v>
      </c>
      <c r="H50" s="17">
        <f>100+206</f>
        <v>306</v>
      </c>
      <c r="I50" s="16">
        <f>H50/(F50-G50)</f>
        <v>20.399999999999999</v>
      </c>
      <c r="J50" s="17">
        <v>63</v>
      </c>
      <c r="K50" s="25">
        <f>103.1+159.3</f>
        <v>262.39999999999998</v>
      </c>
      <c r="L50" s="25">
        <f>20+35</f>
        <v>55</v>
      </c>
      <c r="M50" s="25">
        <f>335</f>
        <v>335</v>
      </c>
      <c r="N50" s="24">
        <f>M50/L50</f>
        <v>6.0909090909090908</v>
      </c>
      <c r="O50" s="49" t="s">
        <v>1352</v>
      </c>
    </row>
    <row r="51" spans="1:15" s="54" customFormat="1" x14ac:dyDescent="0.2">
      <c r="A51" s="64"/>
      <c r="B51" s="65" t="s">
        <v>2768</v>
      </c>
      <c r="C51" s="58" t="s">
        <v>2769</v>
      </c>
      <c r="D51" s="59">
        <f>2</f>
        <v>2</v>
      </c>
      <c r="E51" s="59"/>
      <c r="F51" s="60">
        <f>13</f>
        <v>13</v>
      </c>
      <c r="G51" s="60">
        <f>0</f>
        <v>0</v>
      </c>
      <c r="H51" s="60">
        <f>72</f>
        <v>72</v>
      </c>
      <c r="I51" s="61">
        <f>H51/(F51-G51)</f>
        <v>5.5384615384615383</v>
      </c>
      <c r="J51" s="60">
        <v>17</v>
      </c>
      <c r="K51" s="62">
        <f>41</f>
        <v>41</v>
      </c>
      <c r="L51" s="62">
        <f>10</f>
        <v>10</v>
      </c>
      <c r="M51" s="62">
        <f>174</f>
        <v>174</v>
      </c>
      <c r="N51" s="63"/>
      <c r="O51" s="66" t="s">
        <v>2285</v>
      </c>
    </row>
    <row r="52" spans="1:15" x14ac:dyDescent="0.2">
      <c r="A52" s="57"/>
      <c r="B52" s="90" t="s">
        <v>2701</v>
      </c>
      <c r="C52" s="58" t="s">
        <v>2702</v>
      </c>
      <c r="D52" s="59">
        <v>0</v>
      </c>
      <c r="E52" s="59"/>
      <c r="F52" s="60">
        <v>3</v>
      </c>
      <c r="G52" s="60">
        <v>0</v>
      </c>
      <c r="H52" s="60">
        <v>2</v>
      </c>
      <c r="I52" s="61">
        <f>H52/(F52-G52)</f>
        <v>0.66666666666666663</v>
      </c>
      <c r="J52" s="60">
        <v>2</v>
      </c>
      <c r="K52" s="62">
        <v>5</v>
      </c>
      <c r="L52" s="62">
        <v>1</v>
      </c>
      <c r="M52" s="62">
        <v>36</v>
      </c>
      <c r="N52" s="63">
        <f>M52/L52</f>
        <v>36</v>
      </c>
      <c r="O52" s="66" t="s">
        <v>2480</v>
      </c>
    </row>
    <row r="53" spans="1:15" x14ac:dyDescent="0.2">
      <c r="A53" s="64"/>
      <c r="B53" s="65" t="s">
        <v>2659</v>
      </c>
      <c r="C53" s="58" t="s">
        <v>1660</v>
      </c>
      <c r="D53" s="59">
        <v>1</v>
      </c>
      <c r="E53" s="59"/>
      <c r="F53" s="60">
        <v>14</v>
      </c>
      <c r="G53" s="60">
        <v>2</v>
      </c>
      <c r="H53" s="60">
        <v>89</v>
      </c>
      <c r="I53" s="61">
        <f>H53/(F53-G53)</f>
        <v>7.416666666666667</v>
      </c>
      <c r="J53" s="60">
        <v>25</v>
      </c>
      <c r="K53" s="62">
        <v>33</v>
      </c>
      <c r="L53" s="62">
        <v>4</v>
      </c>
      <c r="M53" s="62">
        <v>120</v>
      </c>
      <c r="N53" s="63">
        <f>M53/L53</f>
        <v>30</v>
      </c>
      <c r="O53" s="66" t="s">
        <v>1503</v>
      </c>
    </row>
    <row r="54" spans="1:15" x14ac:dyDescent="0.2">
      <c r="A54" s="4">
        <v>1749985</v>
      </c>
      <c r="B54" s="35" t="s">
        <v>1821</v>
      </c>
      <c r="C54" s="2" t="s">
        <v>1822</v>
      </c>
      <c r="D54" s="7">
        <f>0</f>
        <v>0</v>
      </c>
      <c r="E54" s="7">
        <f>0</f>
        <v>0</v>
      </c>
      <c r="F54" s="17">
        <f>7</f>
        <v>7</v>
      </c>
      <c r="G54" s="17">
        <f>6</f>
        <v>6</v>
      </c>
      <c r="H54" s="17">
        <f>9</f>
        <v>9</v>
      </c>
      <c r="I54" s="16">
        <f>H54/(F54-G54)</f>
        <v>9</v>
      </c>
      <c r="J54" s="17" t="s">
        <v>1346</v>
      </c>
      <c r="K54" s="25">
        <f>15</f>
        <v>15</v>
      </c>
      <c r="L54" s="25">
        <f>3</f>
        <v>3</v>
      </c>
      <c r="M54" s="25">
        <f>86</f>
        <v>86</v>
      </c>
      <c r="N54" s="24">
        <f>M54/L54</f>
        <v>28.666666666666668</v>
      </c>
      <c r="O54" s="49" t="s">
        <v>1386</v>
      </c>
    </row>
    <row r="55" spans="1:15" s="54" customFormat="1" x14ac:dyDescent="0.2">
      <c r="A55" s="4"/>
      <c r="B55" s="35" t="s">
        <v>473</v>
      </c>
      <c r="C55" s="2" t="s">
        <v>166</v>
      </c>
      <c r="D55" s="7">
        <v>5</v>
      </c>
      <c r="E55" s="7"/>
      <c r="F55" s="17">
        <v>13</v>
      </c>
      <c r="G55" s="17">
        <v>3</v>
      </c>
      <c r="H55" s="17">
        <v>53</v>
      </c>
      <c r="I55" s="16">
        <f>H55/(F55-G55)</f>
        <v>5.3</v>
      </c>
      <c r="J55" s="17">
        <v>18</v>
      </c>
      <c r="K55" s="25">
        <v>3</v>
      </c>
      <c r="L55" s="25">
        <v>0</v>
      </c>
      <c r="M55" s="25">
        <v>15</v>
      </c>
      <c r="N55" s="24" t="e">
        <f>M55/L55</f>
        <v>#DIV/0!</v>
      </c>
      <c r="O55" s="23"/>
    </row>
    <row r="56" spans="1:15" s="54" customFormat="1" x14ac:dyDescent="0.2">
      <c r="A56" s="4"/>
      <c r="B56" s="35" t="s">
        <v>474</v>
      </c>
      <c r="C56" s="2" t="s">
        <v>19</v>
      </c>
      <c r="D56" s="7">
        <f>1+1</f>
        <v>2</v>
      </c>
      <c r="E56" s="7"/>
      <c r="F56" s="17">
        <f>3+5</f>
        <v>8</v>
      </c>
      <c r="G56" s="17">
        <v>1</v>
      </c>
      <c r="H56" s="17">
        <f>16+172</f>
        <v>188</v>
      </c>
      <c r="I56" s="16">
        <f>H56/(F56-G56)</f>
        <v>26.857142857142858</v>
      </c>
      <c r="J56" s="17">
        <v>99</v>
      </c>
      <c r="K56" s="25">
        <v>1</v>
      </c>
      <c r="L56" s="25">
        <v>0</v>
      </c>
      <c r="M56" s="25">
        <v>8</v>
      </c>
      <c r="N56" s="24" t="e">
        <f>M56/L56</f>
        <v>#DIV/0!</v>
      </c>
      <c r="O56" s="23"/>
    </row>
    <row r="57" spans="1:15" x14ac:dyDescent="0.2">
      <c r="A57" s="4"/>
      <c r="B57" s="35" t="s">
        <v>475</v>
      </c>
      <c r="C57" s="2" t="s">
        <v>12</v>
      </c>
      <c r="D57" s="7">
        <f>3+1+1</f>
        <v>5</v>
      </c>
      <c r="E57" s="7"/>
      <c r="F57" s="17">
        <f>10+1+1+4</f>
        <v>16</v>
      </c>
      <c r="G57" s="17">
        <v>3</v>
      </c>
      <c r="H57" s="17">
        <f>77+35+51+37</f>
        <v>200</v>
      </c>
      <c r="I57" s="16">
        <f>H57/(F57-G57)</f>
        <v>15.384615384615385</v>
      </c>
      <c r="J57" s="17">
        <v>51</v>
      </c>
      <c r="K57" s="25">
        <f>68+11+15+50</f>
        <v>144</v>
      </c>
      <c r="L57" s="25">
        <f>12+4+4+6</f>
        <v>26</v>
      </c>
      <c r="M57" s="25">
        <f>279+49+27+177</f>
        <v>532</v>
      </c>
      <c r="N57" s="24">
        <f>M57/L57</f>
        <v>20.46153846153846</v>
      </c>
      <c r="O57" s="23"/>
    </row>
    <row r="58" spans="1:15" s="54" customFormat="1" x14ac:dyDescent="0.2">
      <c r="A58" s="4"/>
      <c r="B58" s="35" t="s">
        <v>476</v>
      </c>
      <c r="C58" s="2" t="s">
        <v>14</v>
      </c>
      <c r="D58" s="7">
        <v>0</v>
      </c>
      <c r="E58" s="7"/>
      <c r="F58" s="17">
        <v>4</v>
      </c>
      <c r="G58" s="17">
        <v>0</v>
      </c>
      <c r="H58" s="17">
        <v>2</v>
      </c>
      <c r="I58" s="16">
        <f>H58/(F58-G58)</f>
        <v>0.5</v>
      </c>
      <c r="J58" s="17">
        <v>1</v>
      </c>
      <c r="K58" s="25"/>
      <c r="L58" s="25"/>
      <c r="M58" s="25"/>
      <c r="N58" s="24" t="e">
        <f>M58/L58</f>
        <v>#DIV/0!</v>
      </c>
      <c r="O58" s="23"/>
    </row>
    <row r="59" spans="1:15" s="5" customFormat="1" x14ac:dyDescent="0.2">
      <c r="A59" s="4">
        <v>719796</v>
      </c>
      <c r="B59" s="55" t="s">
        <v>1522</v>
      </c>
      <c r="C59" s="2" t="s">
        <v>133</v>
      </c>
      <c r="D59" s="7">
        <f>6+11+4+10+3+8+1</f>
        <v>43</v>
      </c>
      <c r="E59" s="7">
        <f>0</f>
        <v>0</v>
      </c>
      <c r="F59" s="17">
        <f>6+9+9+11+3</f>
        <v>38</v>
      </c>
      <c r="G59" s="17">
        <f>1+2+1+1+2</f>
        <v>7</v>
      </c>
      <c r="H59" s="17">
        <f>70+68+123+99+21</f>
        <v>381</v>
      </c>
      <c r="I59" s="16">
        <f>H59/(F59-G59)</f>
        <v>12.290322580645162</v>
      </c>
      <c r="J59" s="17">
        <v>39</v>
      </c>
      <c r="K59" s="25">
        <f>39.3+40.8+38+14+2</f>
        <v>134.1</v>
      </c>
      <c r="L59" s="25">
        <f>15+6+14+2+0</f>
        <v>37</v>
      </c>
      <c r="M59" s="25">
        <f>141+173+116+71+11</f>
        <v>512</v>
      </c>
      <c r="N59" s="24">
        <f>M59/L59</f>
        <v>13.837837837837839</v>
      </c>
      <c r="O59" s="49" t="s">
        <v>2016</v>
      </c>
    </row>
    <row r="60" spans="1:15" x14ac:dyDescent="0.2">
      <c r="A60" s="4"/>
      <c r="B60" s="34" t="s">
        <v>477</v>
      </c>
      <c r="C60" s="2" t="s">
        <v>204</v>
      </c>
      <c r="D60" s="7">
        <v>0</v>
      </c>
      <c r="E60" s="7"/>
      <c r="F60" s="17">
        <v>14</v>
      </c>
      <c r="G60" s="17">
        <v>3</v>
      </c>
      <c r="H60" s="17">
        <v>316</v>
      </c>
      <c r="I60" s="16">
        <f>H60/(F60-G60)</f>
        <v>28.727272727272727</v>
      </c>
      <c r="J60" s="17">
        <v>68</v>
      </c>
      <c r="K60" s="25">
        <v>36</v>
      </c>
      <c r="L60" s="25">
        <v>4</v>
      </c>
      <c r="M60" s="25">
        <v>110</v>
      </c>
      <c r="N60" s="24">
        <f>M60/L60</f>
        <v>27.5</v>
      </c>
      <c r="O60" s="23"/>
    </row>
    <row r="61" spans="1:15" s="5" customFormat="1" x14ac:dyDescent="0.2">
      <c r="A61" s="4">
        <v>716003</v>
      </c>
      <c r="B61" s="51" t="s">
        <v>1406</v>
      </c>
      <c r="C61" s="2" t="s">
        <v>27</v>
      </c>
      <c r="D61" s="7">
        <f>0</f>
        <v>0</v>
      </c>
      <c r="E61" s="7">
        <f>0</f>
        <v>0</v>
      </c>
      <c r="F61" s="17">
        <f>3</f>
        <v>3</v>
      </c>
      <c r="G61" s="17">
        <f>0</f>
        <v>0</v>
      </c>
      <c r="H61" s="17">
        <f>14</f>
        <v>14</v>
      </c>
      <c r="I61" s="16">
        <f>H61/(F61-G61)</f>
        <v>4.666666666666667</v>
      </c>
      <c r="J61" s="17">
        <f>14</f>
        <v>14</v>
      </c>
      <c r="K61" s="25">
        <f>58</f>
        <v>58</v>
      </c>
      <c r="L61" s="25">
        <f>9</f>
        <v>9</v>
      </c>
      <c r="M61" s="25">
        <f>179</f>
        <v>179</v>
      </c>
      <c r="N61" s="24">
        <f>M61/L61</f>
        <v>19.888888888888889</v>
      </c>
      <c r="O61" s="49" t="s">
        <v>1455</v>
      </c>
    </row>
    <row r="62" spans="1:15" s="5" customFormat="1" x14ac:dyDescent="0.2">
      <c r="A62" s="4">
        <v>2005013</v>
      </c>
      <c r="B62" s="35" t="s">
        <v>2050</v>
      </c>
      <c r="C62" s="2" t="s">
        <v>2049</v>
      </c>
      <c r="D62" s="7">
        <f>0</f>
        <v>0</v>
      </c>
      <c r="E62" s="7"/>
      <c r="F62" s="17">
        <f>4</f>
        <v>4</v>
      </c>
      <c r="G62" s="17">
        <f>1</f>
        <v>1</v>
      </c>
      <c r="H62" s="17">
        <f>8</f>
        <v>8</v>
      </c>
      <c r="I62" s="16">
        <f>H62/(F62-G62)</f>
        <v>2.6666666666666665</v>
      </c>
      <c r="J62" s="17" t="s">
        <v>281</v>
      </c>
      <c r="K62" s="25">
        <f>7</f>
        <v>7</v>
      </c>
      <c r="L62" s="25">
        <f>0</f>
        <v>0</v>
      </c>
      <c r="M62" s="25">
        <f>39</f>
        <v>39</v>
      </c>
      <c r="N62" s="24" t="e">
        <f>M62/L62</f>
        <v>#DIV/0!</v>
      </c>
      <c r="O62" s="23"/>
    </row>
    <row r="63" spans="1:15" s="54" customFormat="1" x14ac:dyDescent="0.2">
      <c r="A63" s="57"/>
      <c r="B63" s="65" t="s">
        <v>2721</v>
      </c>
      <c r="C63" s="58" t="s">
        <v>2722</v>
      </c>
      <c r="D63" s="59">
        <v>0</v>
      </c>
      <c r="E63" s="59"/>
      <c r="F63" s="60">
        <v>12</v>
      </c>
      <c r="G63" s="60">
        <v>2</v>
      </c>
      <c r="H63" s="60">
        <v>87</v>
      </c>
      <c r="I63" s="61">
        <f>H63/(F63-G63)</f>
        <v>8.6999999999999993</v>
      </c>
      <c r="J63" s="60">
        <v>22</v>
      </c>
      <c r="K63" s="62">
        <v>69.400000000000006</v>
      </c>
      <c r="L63" s="62">
        <v>10</v>
      </c>
      <c r="M63" s="62">
        <v>196</v>
      </c>
      <c r="N63" s="63">
        <f>M63/L63</f>
        <v>19.600000000000001</v>
      </c>
      <c r="O63" s="66" t="s">
        <v>2023</v>
      </c>
    </row>
    <row r="64" spans="1:15" s="6" customFormat="1" x14ac:dyDescent="0.2">
      <c r="A64" s="4">
        <v>1047139</v>
      </c>
      <c r="B64" s="35" t="s">
        <v>1303</v>
      </c>
      <c r="C64" s="2"/>
      <c r="D64" s="7">
        <f>0</f>
        <v>0</v>
      </c>
      <c r="E64" s="7">
        <f>0</f>
        <v>0</v>
      </c>
      <c r="F64" s="17">
        <f>9</f>
        <v>9</v>
      </c>
      <c r="G64" s="17">
        <f>0</f>
        <v>0</v>
      </c>
      <c r="H64" s="17">
        <f>109</f>
        <v>109</v>
      </c>
      <c r="I64" s="16">
        <f>H64/(F64-G64)</f>
        <v>12.111111111111111</v>
      </c>
      <c r="J64" s="17">
        <v>47</v>
      </c>
      <c r="K64" s="25">
        <f>22</f>
        <v>22</v>
      </c>
      <c r="L64" s="25">
        <f>4</f>
        <v>4</v>
      </c>
      <c r="M64" s="25">
        <f>111</f>
        <v>111</v>
      </c>
      <c r="N64" s="24">
        <f>M64/L64</f>
        <v>27.75</v>
      </c>
      <c r="O64" s="49" t="s">
        <v>1353</v>
      </c>
    </row>
    <row r="65" spans="1:15" x14ac:dyDescent="0.2">
      <c r="A65" s="4"/>
      <c r="B65" s="35" t="s">
        <v>478</v>
      </c>
      <c r="C65" s="2" t="s">
        <v>125</v>
      </c>
      <c r="D65" s="7">
        <v>26</v>
      </c>
      <c r="E65" s="7"/>
      <c r="F65" s="17">
        <v>49</v>
      </c>
      <c r="G65" s="17">
        <v>6</v>
      </c>
      <c r="H65" s="17">
        <v>184</v>
      </c>
      <c r="I65" s="16">
        <f>H65/(F65-G65)</f>
        <v>4.2790697674418601</v>
      </c>
      <c r="J65" s="17">
        <v>31</v>
      </c>
      <c r="K65" s="25">
        <v>31.1</v>
      </c>
      <c r="L65" s="25">
        <v>7</v>
      </c>
      <c r="M65" s="25">
        <v>136</v>
      </c>
      <c r="N65" s="24">
        <f>M65/L65</f>
        <v>19.428571428571427</v>
      </c>
      <c r="O65" s="23"/>
    </row>
    <row r="66" spans="1:15" s="6" customFormat="1" x14ac:dyDescent="0.2">
      <c r="A66" s="4"/>
      <c r="B66" s="35" t="s">
        <v>479</v>
      </c>
      <c r="C66" s="2" t="s">
        <v>16</v>
      </c>
      <c r="D66" s="7">
        <v>4</v>
      </c>
      <c r="E66" s="7"/>
      <c r="F66" s="17">
        <v>5</v>
      </c>
      <c r="G66" s="17">
        <v>2</v>
      </c>
      <c r="H66" s="17">
        <v>11</v>
      </c>
      <c r="I66" s="16">
        <f>H66/(F66-G66)</f>
        <v>3.6666666666666665</v>
      </c>
      <c r="J66" s="17">
        <v>9</v>
      </c>
      <c r="K66" s="25">
        <v>2</v>
      </c>
      <c r="L66" s="25">
        <v>2</v>
      </c>
      <c r="M66" s="25">
        <v>12</v>
      </c>
      <c r="N66" s="24">
        <f>M66/L66</f>
        <v>6</v>
      </c>
      <c r="O66" s="23"/>
    </row>
    <row r="67" spans="1:15" x14ac:dyDescent="0.2">
      <c r="A67" s="4"/>
      <c r="B67" s="35" t="s">
        <v>480</v>
      </c>
      <c r="C67" s="2" t="s">
        <v>171</v>
      </c>
      <c r="D67" s="7">
        <v>3</v>
      </c>
      <c r="E67" s="7"/>
      <c r="F67" s="17">
        <v>10</v>
      </c>
      <c r="G67" s="17">
        <v>5</v>
      </c>
      <c r="H67" s="17">
        <v>35</v>
      </c>
      <c r="I67" s="16">
        <f>H67/(F67-G67)</f>
        <v>7</v>
      </c>
      <c r="J67" s="17" t="s">
        <v>364</v>
      </c>
      <c r="K67" s="25">
        <v>143</v>
      </c>
      <c r="L67" s="25">
        <v>20</v>
      </c>
      <c r="M67" s="25">
        <v>403</v>
      </c>
      <c r="N67" s="24">
        <f>M67/L67</f>
        <v>20.149999999999999</v>
      </c>
      <c r="O67" s="23"/>
    </row>
    <row r="68" spans="1:15" x14ac:dyDescent="0.2">
      <c r="A68" s="4">
        <v>681729</v>
      </c>
      <c r="B68" s="34" t="s">
        <v>1336</v>
      </c>
      <c r="C68" s="2" t="s">
        <v>36</v>
      </c>
      <c r="D68" s="7">
        <f>2+5+2+3</f>
        <v>12</v>
      </c>
      <c r="E68" s="7">
        <f>0</f>
        <v>0</v>
      </c>
      <c r="F68" s="17">
        <f>11+11+7+9</f>
        <v>38</v>
      </c>
      <c r="G68" s="17">
        <f>3+3+0+1</f>
        <v>7</v>
      </c>
      <c r="H68" s="17">
        <f>76+35+74+106</f>
        <v>291</v>
      </c>
      <c r="I68" s="16">
        <f>H68/(F68-G68)</f>
        <v>9.387096774193548</v>
      </c>
      <c r="J68" s="17">
        <v>43</v>
      </c>
      <c r="K68" s="25">
        <f>72+99.3+53.2+50.4+(0.4)</f>
        <v>275.29999999999995</v>
      </c>
      <c r="L68" s="25">
        <f>12+25+8+6</f>
        <v>51</v>
      </c>
      <c r="M68" s="25">
        <f>144+118+85+190</f>
        <v>537</v>
      </c>
      <c r="N68" s="24">
        <f>M68/L68</f>
        <v>10.529411764705882</v>
      </c>
      <c r="O68" s="49" t="s">
        <v>1354</v>
      </c>
    </row>
    <row r="69" spans="1:15" s="54" customFormat="1" x14ac:dyDescent="0.2">
      <c r="A69" s="57"/>
      <c r="B69" s="65" t="s">
        <v>2693</v>
      </c>
      <c r="C69" s="58" t="s">
        <v>2080</v>
      </c>
      <c r="D69" s="59">
        <v>0</v>
      </c>
      <c r="E69" s="59"/>
      <c r="F69" s="60">
        <v>14</v>
      </c>
      <c r="G69" s="60">
        <v>3</v>
      </c>
      <c r="H69" s="60">
        <v>30</v>
      </c>
      <c r="I69" s="61">
        <f>H69/(F69-G69)</f>
        <v>2.7272727272727271</v>
      </c>
      <c r="J69" s="60">
        <v>12</v>
      </c>
      <c r="K69" s="62">
        <v>41</v>
      </c>
      <c r="L69" s="62">
        <v>3</v>
      </c>
      <c r="M69" s="62">
        <v>186</v>
      </c>
      <c r="N69" s="63">
        <f>M69/L69</f>
        <v>62</v>
      </c>
      <c r="O69" s="66" t="s">
        <v>2667</v>
      </c>
    </row>
    <row r="70" spans="1:15" s="54" customFormat="1" x14ac:dyDescent="0.2">
      <c r="A70" s="57">
        <v>2226524</v>
      </c>
      <c r="B70" s="67" t="s">
        <v>2692</v>
      </c>
      <c r="C70" s="58" t="s">
        <v>2560</v>
      </c>
      <c r="D70" s="59">
        <v>1</v>
      </c>
      <c r="E70" s="59">
        <v>0</v>
      </c>
      <c r="F70" s="60">
        <f>10+12</f>
        <v>22</v>
      </c>
      <c r="G70" s="60">
        <v>1</v>
      </c>
      <c r="H70" s="60">
        <f>150+138</f>
        <v>288</v>
      </c>
      <c r="I70" s="61">
        <f>H70/(F70-G70)</f>
        <v>13.714285714285714</v>
      </c>
      <c r="J70" s="60">
        <v>59</v>
      </c>
      <c r="K70" s="62">
        <f>1+10.4</f>
        <v>11.4</v>
      </c>
      <c r="L70" s="62">
        <f>0+3</f>
        <v>3</v>
      </c>
      <c r="M70" s="62">
        <f>14+37</f>
        <v>51</v>
      </c>
      <c r="N70" s="63">
        <f>M70/L70</f>
        <v>17</v>
      </c>
      <c r="O70" s="66" t="s">
        <v>2029</v>
      </c>
    </row>
    <row r="71" spans="1:15" s="54" customFormat="1" x14ac:dyDescent="0.2">
      <c r="A71" s="4">
        <v>2075758</v>
      </c>
      <c r="B71" s="35" t="s">
        <v>2303</v>
      </c>
      <c r="C71" s="2" t="s">
        <v>141</v>
      </c>
      <c r="D71" s="7">
        <f>0</f>
        <v>0</v>
      </c>
      <c r="E71" s="7">
        <f>0</f>
        <v>0</v>
      </c>
      <c r="F71" s="17">
        <f>1</f>
        <v>1</v>
      </c>
      <c r="G71" s="17">
        <f>1</f>
        <v>1</v>
      </c>
      <c r="H71" s="17">
        <f>0</f>
        <v>0</v>
      </c>
      <c r="I71" s="16" t="e">
        <f>H71/(F71-G71)</f>
        <v>#DIV/0!</v>
      </c>
      <c r="J71" s="17" t="s">
        <v>372</v>
      </c>
      <c r="K71" s="25"/>
      <c r="L71" s="25"/>
      <c r="M71" s="25"/>
      <c r="N71" s="24" t="e">
        <f>M71/L71</f>
        <v>#DIV/0!</v>
      </c>
      <c r="O71" s="23"/>
    </row>
    <row r="72" spans="1:15" s="54" customFormat="1" x14ac:dyDescent="0.2">
      <c r="A72" s="4">
        <v>1914631</v>
      </c>
      <c r="B72" s="35" t="s">
        <v>2257</v>
      </c>
      <c r="C72" s="2" t="s">
        <v>2052</v>
      </c>
      <c r="D72" s="7">
        <f>0</f>
        <v>0</v>
      </c>
      <c r="E72" s="7"/>
      <c r="F72" s="17">
        <f>9</f>
        <v>9</v>
      </c>
      <c r="G72" s="17">
        <f>4</f>
        <v>4</v>
      </c>
      <c r="H72" s="17">
        <f>35</f>
        <v>35</v>
      </c>
      <c r="I72" s="16">
        <f>H72/(F72-G72)</f>
        <v>7</v>
      </c>
      <c r="J72" s="17">
        <v>8</v>
      </c>
      <c r="K72" s="25">
        <f>17</f>
        <v>17</v>
      </c>
      <c r="L72" s="25">
        <f>5</f>
        <v>5</v>
      </c>
      <c r="M72" s="25">
        <f>74</f>
        <v>74</v>
      </c>
      <c r="N72" s="24">
        <f>M72/L72</f>
        <v>14.8</v>
      </c>
      <c r="O72" s="49" t="s">
        <v>1355</v>
      </c>
    </row>
    <row r="73" spans="1:15" s="54" customFormat="1" x14ac:dyDescent="0.2">
      <c r="A73" s="4">
        <v>1914624</v>
      </c>
      <c r="B73" s="35" t="s">
        <v>2051</v>
      </c>
      <c r="C73" s="2" t="s">
        <v>2053</v>
      </c>
      <c r="D73" s="7">
        <f>0</f>
        <v>0</v>
      </c>
      <c r="E73" s="7"/>
      <c r="F73" s="17">
        <f>8</f>
        <v>8</v>
      </c>
      <c r="G73" s="17">
        <f>3</f>
        <v>3</v>
      </c>
      <c r="H73" s="17">
        <f>65</f>
        <v>65</v>
      </c>
      <c r="I73" s="16">
        <f>H73/(F73-G73)</f>
        <v>13</v>
      </c>
      <c r="J73" s="17">
        <v>16</v>
      </c>
      <c r="K73" s="25">
        <f>19</f>
        <v>19</v>
      </c>
      <c r="L73" s="25">
        <f>6</f>
        <v>6</v>
      </c>
      <c r="M73" s="25">
        <f>65</f>
        <v>65</v>
      </c>
      <c r="N73" s="24">
        <f>M73/L73</f>
        <v>10.833333333333334</v>
      </c>
      <c r="O73" s="49" t="s">
        <v>1462</v>
      </c>
    </row>
    <row r="74" spans="1:15" s="54" customFormat="1" x14ac:dyDescent="0.2">
      <c r="A74" s="4"/>
      <c r="B74" s="35" t="s">
        <v>481</v>
      </c>
      <c r="C74" s="2" t="s">
        <v>19</v>
      </c>
      <c r="D74" s="7">
        <v>0</v>
      </c>
      <c r="E74" s="7"/>
      <c r="F74" s="17">
        <v>11</v>
      </c>
      <c r="G74" s="17">
        <v>1</v>
      </c>
      <c r="H74" s="17">
        <v>62</v>
      </c>
      <c r="I74" s="16">
        <f>H74/(F74-G74)</f>
        <v>6.2</v>
      </c>
      <c r="J74" s="17">
        <v>20</v>
      </c>
      <c r="K74" s="25">
        <v>2</v>
      </c>
      <c r="L74" s="25">
        <v>0</v>
      </c>
      <c r="M74" s="25">
        <v>8</v>
      </c>
      <c r="N74" s="24" t="e">
        <f>M74/L74</f>
        <v>#DIV/0!</v>
      </c>
      <c r="O74" s="23"/>
    </row>
    <row r="75" spans="1:15" x14ac:dyDescent="0.2">
      <c r="A75" s="4">
        <v>1755520</v>
      </c>
      <c r="B75" s="35" t="s">
        <v>1823</v>
      </c>
      <c r="C75" s="2" t="s">
        <v>1714</v>
      </c>
      <c r="D75" s="7">
        <f>1+2</f>
        <v>3</v>
      </c>
      <c r="E75" s="7">
        <f>0</f>
        <v>0</v>
      </c>
      <c r="F75" s="17">
        <f>9+6</f>
        <v>15</v>
      </c>
      <c r="G75" s="17">
        <f>1+1</f>
        <v>2</v>
      </c>
      <c r="H75" s="17">
        <f>33+19</f>
        <v>52</v>
      </c>
      <c r="I75" s="16">
        <f>H75/(F75-G75)</f>
        <v>4</v>
      </c>
      <c r="J75" s="17">
        <v>8</v>
      </c>
      <c r="K75" s="25"/>
      <c r="L75" s="25"/>
      <c r="M75" s="25"/>
      <c r="N75" s="24" t="e">
        <f>M75/L75</f>
        <v>#DIV/0!</v>
      </c>
      <c r="O75" s="23"/>
    </row>
    <row r="76" spans="1:15" s="54" customFormat="1" x14ac:dyDescent="0.2">
      <c r="A76" s="4">
        <v>2283130</v>
      </c>
      <c r="B76" s="35" t="s">
        <v>2579</v>
      </c>
      <c r="C76" s="2" t="s">
        <v>133</v>
      </c>
      <c r="D76" s="7">
        <v>0</v>
      </c>
      <c r="E76" s="7">
        <v>0</v>
      </c>
      <c r="F76" s="17">
        <v>1</v>
      </c>
      <c r="G76" s="17">
        <v>1</v>
      </c>
      <c r="H76" s="17">
        <v>3</v>
      </c>
      <c r="I76" s="16" t="e">
        <f>H76/(F76-G76)</f>
        <v>#DIV/0!</v>
      </c>
      <c r="J76" s="17" t="s">
        <v>1346</v>
      </c>
      <c r="K76" s="25">
        <v>0</v>
      </c>
      <c r="L76" s="25">
        <v>0</v>
      </c>
      <c r="M76" s="25">
        <v>0</v>
      </c>
      <c r="N76" s="24" t="e">
        <f>M76/L76</f>
        <v>#DIV/0!</v>
      </c>
      <c r="O76" s="23"/>
    </row>
    <row r="77" spans="1:15" s="54" customFormat="1" x14ac:dyDescent="0.2">
      <c r="A77" s="4"/>
      <c r="B77" s="35" t="s">
        <v>192</v>
      </c>
      <c r="C77" s="2" t="s">
        <v>9</v>
      </c>
      <c r="D77" s="7">
        <v>4</v>
      </c>
      <c r="E77" s="7"/>
      <c r="F77" s="17">
        <v>12</v>
      </c>
      <c r="G77" s="17">
        <v>7</v>
      </c>
      <c r="H77" s="17">
        <v>61</v>
      </c>
      <c r="I77" s="16">
        <f>H77/(F77-G77)</f>
        <v>12.2</v>
      </c>
      <c r="J77" s="17"/>
      <c r="K77" s="25">
        <v>19</v>
      </c>
      <c r="L77" s="25">
        <v>1</v>
      </c>
      <c r="M77" s="25">
        <v>88</v>
      </c>
      <c r="N77" s="24">
        <f>M77/L77</f>
        <v>88</v>
      </c>
      <c r="O77" s="23"/>
    </row>
    <row r="78" spans="1:15" s="6" customFormat="1" x14ac:dyDescent="0.2">
      <c r="A78" s="4">
        <v>2235131</v>
      </c>
      <c r="B78" s="35" t="s">
        <v>2525</v>
      </c>
      <c r="C78" s="2" t="s">
        <v>2526</v>
      </c>
      <c r="D78" s="7">
        <v>0</v>
      </c>
      <c r="E78" s="7">
        <v>0</v>
      </c>
      <c r="F78" s="17">
        <v>10</v>
      </c>
      <c r="G78" s="17">
        <v>6</v>
      </c>
      <c r="H78" s="17">
        <v>38</v>
      </c>
      <c r="I78" s="16">
        <f>H78/(F78-G78)</f>
        <v>9.5</v>
      </c>
      <c r="J78" s="17" t="s">
        <v>347</v>
      </c>
      <c r="K78" s="25">
        <v>28</v>
      </c>
      <c r="L78" s="25">
        <v>11</v>
      </c>
      <c r="M78" s="25">
        <v>101</v>
      </c>
      <c r="N78" s="24">
        <f>M78/L78</f>
        <v>9.1818181818181817</v>
      </c>
      <c r="O78" s="49" t="s">
        <v>1471</v>
      </c>
    </row>
    <row r="79" spans="1:15" x14ac:dyDescent="0.2">
      <c r="A79" s="4">
        <v>1012618</v>
      </c>
      <c r="B79" s="35" t="s">
        <v>1824</v>
      </c>
      <c r="C79" s="2" t="s">
        <v>1825</v>
      </c>
      <c r="D79" s="7">
        <f>0</f>
        <v>0</v>
      </c>
      <c r="E79" s="7">
        <f>0</f>
        <v>0</v>
      </c>
      <c r="F79" s="17">
        <f>7</f>
        <v>7</v>
      </c>
      <c r="G79" s="17">
        <f>1</f>
        <v>1</v>
      </c>
      <c r="H79" s="17">
        <f>9</f>
        <v>9</v>
      </c>
      <c r="I79" s="16">
        <f>H79/(F79-G79)</f>
        <v>1.5</v>
      </c>
      <c r="J79" s="17">
        <v>3</v>
      </c>
      <c r="K79" s="25">
        <f>19.1</f>
        <v>19.100000000000001</v>
      </c>
      <c r="L79" s="25">
        <f>1</f>
        <v>1</v>
      </c>
      <c r="M79" s="25">
        <f>80</f>
        <v>80</v>
      </c>
      <c r="N79" s="24">
        <f>M79/L79</f>
        <v>80</v>
      </c>
      <c r="O79" s="49" t="s">
        <v>1386</v>
      </c>
    </row>
    <row r="80" spans="1:15" s="54" customFormat="1" x14ac:dyDescent="0.2">
      <c r="A80" s="4"/>
      <c r="B80" s="35" t="s">
        <v>482</v>
      </c>
      <c r="C80" s="2" t="s">
        <v>65</v>
      </c>
      <c r="D80" s="7">
        <f>3+7+1</f>
        <v>11</v>
      </c>
      <c r="E80" s="7"/>
      <c r="F80" s="17">
        <f>14+14+12</f>
        <v>40</v>
      </c>
      <c r="G80" s="17">
        <f>4+1+1</f>
        <v>6</v>
      </c>
      <c r="H80" s="17">
        <f>6+96+59</f>
        <v>161</v>
      </c>
      <c r="I80" s="16">
        <f>H80/(F80-G80)</f>
        <v>4.7352941176470589</v>
      </c>
      <c r="J80" s="17">
        <v>27</v>
      </c>
      <c r="K80" s="25">
        <f>2+41+20</f>
        <v>63</v>
      </c>
      <c r="L80" s="25">
        <f>16+4</f>
        <v>20</v>
      </c>
      <c r="M80" s="25">
        <f>84+85+79</f>
        <v>248</v>
      </c>
      <c r="N80" s="24">
        <f>M80/L80</f>
        <v>12.4</v>
      </c>
      <c r="O80" s="23"/>
    </row>
    <row r="81" spans="1:15" s="54" customFormat="1" x14ac:dyDescent="0.2">
      <c r="A81" s="4">
        <v>681015</v>
      </c>
      <c r="B81" s="51" t="s">
        <v>1479</v>
      </c>
      <c r="C81" s="2" t="s">
        <v>75</v>
      </c>
      <c r="D81" s="7">
        <f>2+0+1+0</f>
        <v>3</v>
      </c>
      <c r="E81" s="7">
        <f>0</f>
        <v>0</v>
      </c>
      <c r="F81" s="17">
        <f>1+3+2</f>
        <v>6</v>
      </c>
      <c r="G81" s="17">
        <f>0+1+1</f>
        <v>2</v>
      </c>
      <c r="H81" s="17">
        <f>1+17+18</f>
        <v>36</v>
      </c>
      <c r="I81" s="16">
        <f>H81/(F81-G81)</f>
        <v>9</v>
      </c>
      <c r="J81" s="17">
        <v>17</v>
      </c>
      <c r="K81" s="25">
        <f>33.3+8+110.7+32.4</f>
        <v>184.4</v>
      </c>
      <c r="L81" s="25">
        <f>8+3+17+5</f>
        <v>33</v>
      </c>
      <c r="M81" s="25">
        <f>98+17+349+110</f>
        <v>574</v>
      </c>
      <c r="N81" s="24">
        <f>M81/L81</f>
        <v>17.393939393939394</v>
      </c>
      <c r="O81" s="49" t="s">
        <v>1802</v>
      </c>
    </row>
    <row r="82" spans="1:15" s="5" customFormat="1" x14ac:dyDescent="0.2">
      <c r="A82" s="4"/>
      <c r="B82" s="35" t="s">
        <v>483</v>
      </c>
      <c r="C82" s="2" t="s">
        <v>138</v>
      </c>
      <c r="D82" s="7">
        <v>27</v>
      </c>
      <c r="E82" s="7"/>
      <c r="F82" s="17">
        <v>72</v>
      </c>
      <c r="G82" s="17">
        <v>7</v>
      </c>
      <c r="H82" s="17">
        <v>924</v>
      </c>
      <c r="I82" s="16">
        <f>H82/(F82-G82)</f>
        <v>14.215384615384615</v>
      </c>
      <c r="J82" s="17">
        <v>65</v>
      </c>
      <c r="K82" s="25">
        <v>465.2</v>
      </c>
      <c r="L82" s="25">
        <v>66</v>
      </c>
      <c r="M82" s="25">
        <v>1878</v>
      </c>
      <c r="N82" s="24">
        <f>M82/L82</f>
        <v>28.454545454545453</v>
      </c>
      <c r="O82" s="23"/>
    </row>
    <row r="83" spans="1:15" s="54" customFormat="1" x14ac:dyDescent="0.2">
      <c r="A83" s="4"/>
      <c r="B83" s="35" t="s">
        <v>484</v>
      </c>
      <c r="C83" s="2" t="s">
        <v>160</v>
      </c>
      <c r="D83" s="7">
        <v>20</v>
      </c>
      <c r="E83" s="7"/>
      <c r="F83" s="17">
        <v>24</v>
      </c>
      <c r="G83" s="17">
        <v>4</v>
      </c>
      <c r="H83" s="17">
        <v>404</v>
      </c>
      <c r="I83" s="16">
        <f>H83/(F83-G83)</f>
        <v>20.2</v>
      </c>
      <c r="J83" s="17">
        <v>75</v>
      </c>
      <c r="K83" s="25">
        <v>348</v>
      </c>
      <c r="L83" s="25">
        <v>89</v>
      </c>
      <c r="M83" s="25">
        <v>631</v>
      </c>
      <c r="N83" s="24">
        <f>M83/L83</f>
        <v>7.0898876404494384</v>
      </c>
      <c r="O83" s="23"/>
    </row>
    <row r="84" spans="1:15" s="54" customFormat="1" x14ac:dyDescent="0.2">
      <c r="A84" s="4"/>
      <c r="B84" s="35" t="s">
        <v>485</v>
      </c>
      <c r="C84" s="2" t="s">
        <v>88</v>
      </c>
      <c r="D84" s="7">
        <f>4+4+2+1+7+6</f>
        <v>24</v>
      </c>
      <c r="E84" s="7"/>
      <c r="F84" s="17">
        <f>10+7+1+2+11+2+7</f>
        <v>40</v>
      </c>
      <c r="G84" s="17">
        <f>1+2+2</f>
        <v>5</v>
      </c>
      <c r="H84" s="17">
        <f>46+56+62+124+1+40</f>
        <v>329</v>
      </c>
      <c r="I84" s="16">
        <f>H84/(F84-G84)</f>
        <v>9.4</v>
      </c>
      <c r="J84" s="17">
        <v>41</v>
      </c>
      <c r="K84" s="25">
        <f>87+96+11+65+8+37</f>
        <v>304</v>
      </c>
      <c r="L84" s="25">
        <f>22+22+2+13+3+12</f>
        <v>74</v>
      </c>
      <c r="M84" s="25">
        <f>251+357+36+183+6+143</f>
        <v>976</v>
      </c>
      <c r="N84" s="24">
        <f>M84/L84</f>
        <v>13.189189189189189</v>
      </c>
      <c r="O84" s="23"/>
    </row>
    <row r="85" spans="1:15" s="54" customFormat="1" x14ac:dyDescent="0.2">
      <c r="A85" s="4"/>
      <c r="B85" s="35" t="s">
        <v>486</v>
      </c>
      <c r="C85" s="2" t="s">
        <v>15</v>
      </c>
      <c r="D85" s="7">
        <f>28+2</f>
        <v>30</v>
      </c>
      <c r="E85" s="7"/>
      <c r="F85" s="17">
        <f>78+15</f>
        <v>93</v>
      </c>
      <c r="G85" s="17">
        <v>4</v>
      </c>
      <c r="H85" s="17">
        <f>626+102</f>
        <v>728</v>
      </c>
      <c r="I85" s="16">
        <f>H85/(F85-G85)</f>
        <v>8.1797752808988768</v>
      </c>
      <c r="J85" s="17">
        <v>49</v>
      </c>
      <c r="K85" s="25">
        <f>318+69</f>
        <v>387</v>
      </c>
      <c r="L85" s="25">
        <f>36+20</f>
        <v>56</v>
      </c>
      <c r="M85" s="25">
        <f>900+299</f>
        <v>1199</v>
      </c>
      <c r="N85" s="24">
        <f>M85/L85</f>
        <v>21.410714285714285</v>
      </c>
      <c r="O85" s="23"/>
    </row>
    <row r="86" spans="1:15" s="54" customFormat="1" x14ac:dyDescent="0.2">
      <c r="A86" s="4"/>
      <c r="B86" s="35" t="s">
        <v>487</v>
      </c>
      <c r="C86" s="2" t="s">
        <v>18</v>
      </c>
      <c r="D86" s="7">
        <v>0</v>
      </c>
      <c r="E86" s="7"/>
      <c r="F86" s="17">
        <v>4</v>
      </c>
      <c r="G86" s="17">
        <v>1</v>
      </c>
      <c r="H86" s="17">
        <v>14</v>
      </c>
      <c r="I86" s="16">
        <f>H86/(F86-G86)</f>
        <v>4.666666666666667</v>
      </c>
      <c r="J86" s="17">
        <v>12</v>
      </c>
      <c r="K86" s="25">
        <v>1</v>
      </c>
      <c r="L86" s="25">
        <v>0</v>
      </c>
      <c r="M86" s="25">
        <v>6</v>
      </c>
      <c r="N86" s="24" t="e">
        <f>M86/L86</f>
        <v>#DIV/0!</v>
      </c>
      <c r="O86" s="23"/>
    </row>
    <row r="87" spans="1:15" x14ac:dyDescent="0.2">
      <c r="A87" s="4"/>
      <c r="B87" s="35" t="s">
        <v>488</v>
      </c>
      <c r="C87" s="2" t="s">
        <v>167</v>
      </c>
      <c r="D87" s="7">
        <f>4+1+3</f>
        <v>8</v>
      </c>
      <c r="E87" s="7"/>
      <c r="F87" s="17">
        <f>3+15+1+2+7</f>
        <v>28</v>
      </c>
      <c r="G87" s="17">
        <f>3+1</f>
        <v>4</v>
      </c>
      <c r="H87" s="17">
        <f>1+183+9+4+121</f>
        <v>318</v>
      </c>
      <c r="I87" s="16">
        <f>H87/(F87-G87)</f>
        <v>13.25</v>
      </c>
      <c r="J87" s="17">
        <v>43</v>
      </c>
      <c r="K87" s="25">
        <f>22+41+6+7+37</f>
        <v>113</v>
      </c>
      <c r="L87" s="25">
        <f>1+2+1+11</f>
        <v>15</v>
      </c>
      <c r="M87" s="25">
        <f>11+103+25+29+116</f>
        <v>284</v>
      </c>
      <c r="N87" s="24">
        <f>M87/L87</f>
        <v>18.933333333333334</v>
      </c>
      <c r="O87" s="23"/>
    </row>
    <row r="88" spans="1:15" s="54" customFormat="1" x14ac:dyDescent="0.2">
      <c r="A88" s="4">
        <v>891096</v>
      </c>
      <c r="B88" s="35" t="s">
        <v>489</v>
      </c>
      <c r="C88" s="2" t="s">
        <v>126</v>
      </c>
      <c r="D88" s="7">
        <f>14+3+6+8+7+2+5+0</f>
        <v>45</v>
      </c>
      <c r="E88" s="7">
        <f>0</f>
        <v>0</v>
      </c>
      <c r="F88" s="17">
        <f>37+7+11+13+12+2+15+8+1+2</f>
        <v>108</v>
      </c>
      <c r="G88" s="17">
        <f>4+2+1+2+1+1+0</f>
        <v>11</v>
      </c>
      <c r="H88" s="17">
        <f>748+271+269+363+217+29+160+152+1+66</f>
        <v>2276</v>
      </c>
      <c r="I88" s="16">
        <f>H88/(F88-G88)</f>
        <v>23.463917525773194</v>
      </c>
      <c r="J88" s="17">
        <v>136</v>
      </c>
      <c r="K88" s="25">
        <f>138+22+92+18+18+12+10+2+6+5</f>
        <v>323</v>
      </c>
      <c r="L88" s="25">
        <f>35+3+13+5+3+4+1+1+4+0</f>
        <v>69</v>
      </c>
      <c r="M88" s="25">
        <f>499+97+317+112+42+48+38+17+20+25</f>
        <v>1215</v>
      </c>
      <c r="N88" s="24">
        <f>M88/L88</f>
        <v>17.608695652173914</v>
      </c>
      <c r="O88" s="23"/>
    </row>
    <row r="89" spans="1:15" x14ac:dyDescent="0.2">
      <c r="A89" s="4"/>
      <c r="B89" s="35" t="s">
        <v>490</v>
      </c>
      <c r="C89" s="2" t="s">
        <v>19</v>
      </c>
      <c r="D89" s="7">
        <f>2+3+1+1+0</f>
        <v>7</v>
      </c>
      <c r="E89" s="7"/>
      <c r="F89" s="17">
        <f>10+9+7+1+9+1</f>
        <v>37</v>
      </c>
      <c r="G89" s="17">
        <f>1+2</f>
        <v>3</v>
      </c>
      <c r="H89" s="17">
        <f>40+37+115+99</f>
        <v>291</v>
      </c>
      <c r="I89" s="16">
        <f>H89/(F89-G89)</f>
        <v>8.5588235294117645</v>
      </c>
      <c r="J89" s="17" t="s">
        <v>394</v>
      </c>
      <c r="K89" s="25">
        <f>55+49+58+8+52+2</f>
        <v>224</v>
      </c>
      <c r="L89" s="25">
        <f>17+14+14+1+16</f>
        <v>62</v>
      </c>
      <c r="M89" s="25">
        <f>155+171+206+30+219+11</f>
        <v>792</v>
      </c>
      <c r="N89" s="24">
        <f>M89/L89</f>
        <v>12.774193548387096</v>
      </c>
      <c r="O89" s="23"/>
    </row>
    <row r="90" spans="1:15" x14ac:dyDescent="0.2">
      <c r="A90" s="4">
        <v>668602</v>
      </c>
      <c r="B90" s="35" t="s">
        <v>491</v>
      </c>
      <c r="C90" s="2" t="s">
        <v>248</v>
      </c>
      <c r="D90" s="7">
        <f>1+6+5</f>
        <v>12</v>
      </c>
      <c r="E90" s="7">
        <f>0</f>
        <v>0</v>
      </c>
      <c r="F90" s="17">
        <f>12+12+4</f>
        <v>28</v>
      </c>
      <c r="G90" s="17">
        <f>1+2+1</f>
        <v>4</v>
      </c>
      <c r="H90" s="17">
        <f>78+91+5</f>
        <v>174</v>
      </c>
      <c r="I90" s="16">
        <f>H90/(F90-G90)</f>
        <v>7.25</v>
      </c>
      <c r="J90" s="17">
        <v>32</v>
      </c>
      <c r="K90" s="25">
        <f>36.3+51+35</f>
        <v>122.3</v>
      </c>
      <c r="L90" s="25">
        <f>8+9+9</f>
        <v>26</v>
      </c>
      <c r="M90" s="25">
        <f>172+306+205</f>
        <v>683</v>
      </c>
      <c r="N90" s="24">
        <f>M90/L90</f>
        <v>26.26923076923077</v>
      </c>
      <c r="O90" s="49" t="s">
        <v>1456</v>
      </c>
    </row>
    <row r="91" spans="1:15" s="54" customFormat="1" x14ac:dyDescent="0.2">
      <c r="A91" s="4"/>
      <c r="B91" s="35" t="s">
        <v>492</v>
      </c>
      <c r="C91" s="2" t="s">
        <v>20</v>
      </c>
      <c r="D91" s="7">
        <v>3</v>
      </c>
      <c r="E91" s="7"/>
      <c r="F91" s="17">
        <v>4</v>
      </c>
      <c r="G91" s="17">
        <v>3</v>
      </c>
      <c r="H91" s="17">
        <v>38</v>
      </c>
      <c r="I91" s="16">
        <f>H91/(F91-G91)</f>
        <v>38</v>
      </c>
      <c r="J91" s="17" t="s">
        <v>269</v>
      </c>
      <c r="K91" s="25">
        <v>23.2</v>
      </c>
      <c r="L91" s="25">
        <v>8</v>
      </c>
      <c r="M91" s="25">
        <v>134</v>
      </c>
      <c r="N91" s="24">
        <f>M91/L91</f>
        <v>16.75</v>
      </c>
      <c r="O91" s="23"/>
    </row>
    <row r="92" spans="1:15" s="5" customFormat="1" x14ac:dyDescent="0.2">
      <c r="A92" s="4"/>
      <c r="B92" s="34" t="s">
        <v>493</v>
      </c>
      <c r="C92" s="2" t="s">
        <v>282</v>
      </c>
      <c r="D92" s="7">
        <v>0</v>
      </c>
      <c r="E92" s="7"/>
      <c r="F92" s="17"/>
      <c r="G92" s="17"/>
      <c r="H92" s="17"/>
      <c r="I92" s="16" t="e">
        <f>H92/(F92-G92)</f>
        <v>#DIV/0!</v>
      </c>
      <c r="J92" s="17"/>
      <c r="K92" s="25"/>
      <c r="L92" s="25"/>
      <c r="M92" s="25"/>
      <c r="N92" s="24" t="e">
        <f>M92/L92</f>
        <v>#DIV/0!</v>
      </c>
      <c r="O92" s="23"/>
    </row>
    <row r="93" spans="1:15" s="54" customFormat="1" x14ac:dyDescent="0.2">
      <c r="A93" s="4"/>
      <c r="B93" s="4" t="s">
        <v>494</v>
      </c>
      <c r="C93" s="2" t="s">
        <v>283</v>
      </c>
      <c r="D93" s="7">
        <v>0</v>
      </c>
      <c r="E93" s="7"/>
      <c r="F93" s="17"/>
      <c r="G93" s="17"/>
      <c r="H93" s="17"/>
      <c r="I93" s="16" t="e">
        <f>H93/(F93-G93)</f>
        <v>#DIV/0!</v>
      </c>
      <c r="J93" s="17"/>
      <c r="K93" s="25"/>
      <c r="L93" s="25"/>
      <c r="M93" s="25"/>
      <c r="N93" s="24" t="e">
        <f>M93/L93</f>
        <v>#DIV/0!</v>
      </c>
      <c r="O93" s="23"/>
    </row>
    <row r="94" spans="1:15" s="54" customFormat="1" x14ac:dyDescent="0.2">
      <c r="A94" s="64">
        <v>659806</v>
      </c>
      <c r="B94" s="65" t="s">
        <v>1661</v>
      </c>
      <c r="C94" s="58" t="s">
        <v>1662</v>
      </c>
      <c r="D94" s="59">
        <f>0+1+0+1</f>
        <v>2</v>
      </c>
      <c r="E94" s="59">
        <f>0</f>
        <v>0</v>
      </c>
      <c r="F94" s="60">
        <f>11+13+10</f>
        <v>34</v>
      </c>
      <c r="G94" s="60">
        <f>0+1+1</f>
        <v>2</v>
      </c>
      <c r="H94" s="60">
        <f>292+240+213</f>
        <v>745</v>
      </c>
      <c r="I94" s="61">
        <f>H94/(F94-G94)</f>
        <v>23.28125</v>
      </c>
      <c r="J94" s="60">
        <v>113</v>
      </c>
      <c r="K94" s="62">
        <f>2+6+2</f>
        <v>10</v>
      </c>
      <c r="L94" s="62">
        <f>0+0</f>
        <v>0</v>
      </c>
      <c r="M94" s="62">
        <f>22+27+8</f>
        <v>57</v>
      </c>
      <c r="N94" s="63" t="e">
        <f>M94/L94</f>
        <v>#DIV/0!</v>
      </c>
      <c r="O94" s="66" t="s">
        <v>1624</v>
      </c>
    </row>
    <row r="95" spans="1:15" x14ac:dyDescent="0.2">
      <c r="A95" s="4">
        <v>1764778</v>
      </c>
      <c r="B95" s="35" t="s">
        <v>1826</v>
      </c>
      <c r="C95" s="2" t="s">
        <v>1827</v>
      </c>
      <c r="D95" s="7">
        <f>1+0</f>
        <v>1</v>
      </c>
      <c r="E95" s="7">
        <f>0</f>
        <v>0</v>
      </c>
      <c r="F95" s="17">
        <f>6+2</f>
        <v>8</v>
      </c>
      <c r="G95" s="17">
        <f>1+1</f>
        <v>2</v>
      </c>
      <c r="H95" s="17">
        <f>18+4</f>
        <v>22</v>
      </c>
      <c r="I95" s="16">
        <f>H95/(F95-G95)</f>
        <v>3.6666666666666665</v>
      </c>
      <c r="J95" s="17">
        <v>7</v>
      </c>
      <c r="K95" s="25">
        <f>70+15</f>
        <v>85</v>
      </c>
      <c r="L95" s="25">
        <f>8+3</f>
        <v>11</v>
      </c>
      <c r="M95" s="25">
        <f>274+66</f>
        <v>340</v>
      </c>
      <c r="N95" s="24">
        <f>M95/L95</f>
        <v>30.90909090909091</v>
      </c>
      <c r="O95" s="49" t="s">
        <v>2017</v>
      </c>
    </row>
    <row r="96" spans="1:15" s="54" customFormat="1" x14ac:dyDescent="0.2">
      <c r="A96" s="4"/>
      <c r="B96" s="34" t="s">
        <v>495</v>
      </c>
      <c r="C96" s="2" t="s">
        <v>52</v>
      </c>
      <c r="D96" s="7">
        <f>5+3</f>
        <v>8</v>
      </c>
      <c r="E96" s="7"/>
      <c r="F96" s="17">
        <f>9+1+5</f>
        <v>15</v>
      </c>
      <c r="G96" s="17">
        <f>2+1</f>
        <v>3</v>
      </c>
      <c r="H96" s="17">
        <f>9+4+1</f>
        <v>14</v>
      </c>
      <c r="I96" s="16">
        <f>H96/(F96-G96)</f>
        <v>1.1666666666666667</v>
      </c>
      <c r="J96" s="17">
        <v>5</v>
      </c>
      <c r="K96" s="25">
        <f>17+4+8</f>
        <v>29</v>
      </c>
      <c r="L96" s="25">
        <f>2+0</f>
        <v>2</v>
      </c>
      <c r="M96" s="25">
        <f>80+15+3</f>
        <v>98</v>
      </c>
      <c r="N96" s="24">
        <f>M96/L96</f>
        <v>49</v>
      </c>
      <c r="O96" s="23"/>
    </row>
    <row r="97" spans="1:15" s="54" customFormat="1" x14ac:dyDescent="0.2">
      <c r="A97" s="4">
        <v>1840582</v>
      </c>
      <c r="B97" s="35" t="s">
        <v>2054</v>
      </c>
      <c r="C97" s="2" t="s">
        <v>2055</v>
      </c>
      <c r="D97" s="7">
        <f>0</f>
        <v>0</v>
      </c>
      <c r="E97" s="7"/>
      <c r="F97" s="17"/>
      <c r="G97" s="17"/>
      <c r="H97" s="17"/>
      <c r="I97" s="16" t="e">
        <f>H97/(F97-G97)</f>
        <v>#DIV/0!</v>
      </c>
      <c r="J97" s="17"/>
      <c r="K97" s="25"/>
      <c r="L97" s="25"/>
      <c r="M97" s="25"/>
      <c r="N97" s="24" t="e">
        <f>M97/L97</f>
        <v>#DIV/0!</v>
      </c>
      <c r="O97" s="23"/>
    </row>
    <row r="98" spans="1:15" s="54" customFormat="1" x14ac:dyDescent="0.2">
      <c r="A98" s="4">
        <v>1766273</v>
      </c>
      <c r="B98" s="35" t="s">
        <v>1828</v>
      </c>
      <c r="C98" s="2" t="s">
        <v>1829</v>
      </c>
      <c r="D98" s="7">
        <f>9+6+4+0</f>
        <v>19</v>
      </c>
      <c r="E98" s="7">
        <f>0+0</f>
        <v>0</v>
      </c>
      <c r="F98" s="17">
        <f>12+13+6+2</f>
        <v>33</v>
      </c>
      <c r="G98" s="17">
        <f>0+2+0+0</f>
        <v>2</v>
      </c>
      <c r="H98" s="17">
        <f>199+62+30+11</f>
        <v>302</v>
      </c>
      <c r="I98" s="16">
        <f>H98/(F98-G98)</f>
        <v>9.741935483870968</v>
      </c>
      <c r="J98" s="17" t="s">
        <v>2549</v>
      </c>
      <c r="K98" s="25">
        <f>87+82+37.2+12</f>
        <v>218.2</v>
      </c>
      <c r="L98" s="25">
        <f>12+15+7+2</f>
        <v>36</v>
      </c>
      <c r="M98" s="25">
        <f>316+283+144+59</f>
        <v>802</v>
      </c>
      <c r="N98" s="24">
        <f>M98/L98</f>
        <v>22.277777777777779</v>
      </c>
      <c r="O98" s="49" t="s">
        <v>2018</v>
      </c>
    </row>
    <row r="99" spans="1:15" s="54" customFormat="1" x14ac:dyDescent="0.2">
      <c r="A99" s="4">
        <v>2083728</v>
      </c>
      <c r="B99" s="35" t="s">
        <v>2304</v>
      </c>
      <c r="C99" s="2" t="s">
        <v>2305</v>
      </c>
      <c r="D99" s="7">
        <f>3+0</f>
        <v>3</v>
      </c>
      <c r="E99" s="7">
        <f>0+0</f>
        <v>0</v>
      </c>
      <c r="F99" s="17">
        <f>11+10</f>
        <v>21</v>
      </c>
      <c r="G99" s="17">
        <f>2+0</f>
        <v>2</v>
      </c>
      <c r="H99" s="17">
        <f>339+97</f>
        <v>436</v>
      </c>
      <c r="I99" s="16">
        <f>H99/(F99-G99)</f>
        <v>22.94736842105263</v>
      </c>
      <c r="J99" s="17" t="s">
        <v>292</v>
      </c>
      <c r="K99" s="25">
        <v>0</v>
      </c>
      <c r="L99" s="25">
        <v>0</v>
      </c>
      <c r="M99" s="25">
        <v>0</v>
      </c>
      <c r="N99" s="24" t="e">
        <f>M99/L99</f>
        <v>#DIV/0!</v>
      </c>
      <c r="O99" s="23"/>
    </row>
    <row r="100" spans="1:15" x14ac:dyDescent="0.2">
      <c r="A100" s="4"/>
      <c r="B100" s="35" t="s">
        <v>496</v>
      </c>
      <c r="C100" s="2" t="s">
        <v>18</v>
      </c>
      <c r="D100" s="7">
        <v>4</v>
      </c>
      <c r="E100" s="7"/>
      <c r="F100" s="17">
        <v>7</v>
      </c>
      <c r="G100" s="17">
        <v>4</v>
      </c>
      <c r="H100" s="17">
        <v>8</v>
      </c>
      <c r="I100" s="16">
        <f>H100/(F100-G100)</f>
        <v>2.6666666666666665</v>
      </c>
      <c r="J100" s="17" t="s">
        <v>289</v>
      </c>
      <c r="K100" s="25">
        <v>4</v>
      </c>
      <c r="L100" s="25">
        <v>2</v>
      </c>
      <c r="M100" s="25">
        <v>13</v>
      </c>
      <c r="N100" s="24">
        <f>M100/L100</f>
        <v>6.5</v>
      </c>
      <c r="O100" s="23"/>
    </row>
    <row r="101" spans="1:15" s="5" customFormat="1" x14ac:dyDescent="0.2">
      <c r="A101" s="4"/>
      <c r="B101" s="35" t="s">
        <v>497</v>
      </c>
      <c r="C101" s="2" t="s">
        <v>134</v>
      </c>
      <c r="D101" s="7">
        <v>11</v>
      </c>
      <c r="E101" s="7"/>
      <c r="F101" s="17">
        <v>29</v>
      </c>
      <c r="G101" s="17">
        <v>1</v>
      </c>
      <c r="H101" s="17">
        <v>521</v>
      </c>
      <c r="I101" s="16">
        <f>H101/(F101-G101)</f>
        <v>18.607142857142858</v>
      </c>
      <c r="J101" s="17">
        <v>56</v>
      </c>
      <c r="K101" s="25">
        <v>123.5</v>
      </c>
      <c r="L101" s="25">
        <v>26</v>
      </c>
      <c r="M101" s="25">
        <v>419</v>
      </c>
      <c r="N101" s="24">
        <f>M101/L101</f>
        <v>16.115384615384617</v>
      </c>
      <c r="O101" s="23"/>
    </row>
    <row r="102" spans="1:15" x14ac:dyDescent="0.2">
      <c r="A102" s="4"/>
      <c r="B102" s="35" t="s">
        <v>498</v>
      </c>
      <c r="C102" s="2" t="s">
        <v>93</v>
      </c>
      <c r="D102" s="7">
        <v>11</v>
      </c>
      <c r="E102" s="7"/>
      <c r="F102" s="17">
        <v>23</v>
      </c>
      <c r="G102" s="17">
        <v>3</v>
      </c>
      <c r="H102" s="17">
        <v>227</v>
      </c>
      <c r="I102" s="16">
        <f>H102/(F102-G102)</f>
        <v>11.35</v>
      </c>
      <c r="J102" s="17" t="s">
        <v>395</v>
      </c>
      <c r="K102" s="25">
        <v>153</v>
      </c>
      <c r="L102" s="25">
        <v>55</v>
      </c>
      <c r="M102" s="25">
        <v>326</v>
      </c>
      <c r="N102" s="24">
        <f>M102/L102</f>
        <v>5.9272727272727277</v>
      </c>
      <c r="O102" s="23"/>
    </row>
    <row r="103" spans="1:15" x14ac:dyDescent="0.2">
      <c r="A103" s="4"/>
      <c r="B103" s="35" t="s">
        <v>499</v>
      </c>
      <c r="C103" s="2" t="s">
        <v>147</v>
      </c>
      <c r="D103" s="7">
        <v>4</v>
      </c>
      <c r="E103" s="7"/>
      <c r="F103" s="17">
        <v>23</v>
      </c>
      <c r="G103" s="17">
        <v>0</v>
      </c>
      <c r="H103" s="17">
        <v>354</v>
      </c>
      <c r="I103" s="16">
        <f>H103/(F103-G103)</f>
        <v>15.391304347826088</v>
      </c>
      <c r="J103" s="17">
        <v>84</v>
      </c>
      <c r="K103" s="25">
        <v>159</v>
      </c>
      <c r="L103" s="25">
        <v>33</v>
      </c>
      <c r="M103" s="25">
        <v>677</v>
      </c>
      <c r="N103" s="24">
        <f>M103/L103</f>
        <v>20.515151515151516</v>
      </c>
      <c r="O103" s="23"/>
    </row>
    <row r="104" spans="1:15" x14ac:dyDescent="0.2">
      <c r="A104" s="4">
        <v>2235139</v>
      </c>
      <c r="B104" s="35" t="s">
        <v>2521</v>
      </c>
      <c r="C104" s="2" t="s">
        <v>2522</v>
      </c>
      <c r="D104" s="7">
        <v>0</v>
      </c>
      <c r="E104" s="7">
        <v>0</v>
      </c>
      <c r="F104" s="17">
        <v>10</v>
      </c>
      <c r="G104" s="17">
        <v>7</v>
      </c>
      <c r="H104" s="17">
        <v>44</v>
      </c>
      <c r="I104" s="16">
        <f>H104/(F104-G104)</f>
        <v>14.666666666666666</v>
      </c>
      <c r="J104" s="17">
        <v>8</v>
      </c>
      <c r="K104" s="25">
        <v>31</v>
      </c>
      <c r="L104" s="25">
        <v>13</v>
      </c>
      <c r="M104" s="25">
        <v>105</v>
      </c>
      <c r="N104" s="24">
        <f>M104/L104</f>
        <v>8.0769230769230766</v>
      </c>
      <c r="O104" s="49" t="s">
        <v>1512</v>
      </c>
    </row>
    <row r="105" spans="1:15" s="5" customFormat="1" x14ac:dyDescent="0.2">
      <c r="A105" s="4"/>
      <c r="B105" s="34" t="s">
        <v>501</v>
      </c>
      <c r="C105" s="2" t="s">
        <v>88</v>
      </c>
      <c r="D105" s="7">
        <f>5</f>
        <v>5</v>
      </c>
      <c r="E105" s="7"/>
      <c r="F105" s="17">
        <f>7</f>
        <v>7</v>
      </c>
      <c r="G105" s="17">
        <f>2</f>
        <v>2</v>
      </c>
      <c r="H105" s="17">
        <v>20</v>
      </c>
      <c r="I105" s="16">
        <f>H105/(F105-G105)</f>
        <v>4</v>
      </c>
      <c r="J105" s="17" t="s">
        <v>268</v>
      </c>
      <c r="K105" s="25"/>
      <c r="L105" s="25"/>
      <c r="M105" s="25"/>
      <c r="N105" s="24" t="e">
        <f>M105/L105</f>
        <v>#DIV/0!</v>
      </c>
      <c r="O105" s="23"/>
    </row>
    <row r="106" spans="1:15" s="5" customFormat="1" x14ac:dyDescent="0.2">
      <c r="A106" s="4"/>
      <c r="B106" s="35" t="s">
        <v>500</v>
      </c>
      <c r="C106" s="2" t="s">
        <v>127</v>
      </c>
      <c r="D106" s="7">
        <f>6+3+3+6+6+1+1+3+0</f>
        <v>29</v>
      </c>
      <c r="E106" s="7"/>
      <c r="F106" s="17">
        <f>12+3+1+10+11+7+1+1+6+1</f>
        <v>53</v>
      </c>
      <c r="G106" s="17">
        <f>2+1+2+3+1+2+0</f>
        <v>11</v>
      </c>
      <c r="H106" s="17">
        <f>37+45+14+16+21+63+1+3+41+0</f>
        <v>241</v>
      </c>
      <c r="I106" s="16">
        <f>H106/(F106-G106)</f>
        <v>5.7380952380952381</v>
      </c>
      <c r="J106" s="17">
        <v>33</v>
      </c>
      <c r="K106" s="25">
        <f>23+20+28+9+45.3+6+11</f>
        <v>142.30000000000001</v>
      </c>
      <c r="L106" s="25">
        <f>6+5+1+7+1+0</f>
        <v>20</v>
      </c>
      <c r="M106" s="25">
        <f>54+49+88+51+179+10+28</f>
        <v>459</v>
      </c>
      <c r="N106" s="24">
        <f>M106/L106</f>
        <v>22.95</v>
      </c>
      <c r="O106" s="23"/>
    </row>
    <row r="107" spans="1:15" x14ac:dyDescent="0.2">
      <c r="A107" s="4"/>
      <c r="B107" s="35" t="s">
        <v>502</v>
      </c>
      <c r="C107" s="2" t="s">
        <v>121</v>
      </c>
      <c r="D107" s="7">
        <v>4</v>
      </c>
      <c r="E107" s="7"/>
      <c r="F107" s="17">
        <v>9</v>
      </c>
      <c r="G107" s="17">
        <v>1</v>
      </c>
      <c r="H107" s="17">
        <v>51</v>
      </c>
      <c r="I107" s="16">
        <f>H107/(F107-G107)</f>
        <v>6.375</v>
      </c>
      <c r="J107" s="17">
        <v>20</v>
      </c>
      <c r="K107" s="25">
        <v>14</v>
      </c>
      <c r="L107" s="25">
        <v>3</v>
      </c>
      <c r="M107" s="25">
        <v>36</v>
      </c>
      <c r="N107" s="24">
        <f>M107/L107</f>
        <v>12</v>
      </c>
      <c r="O107" s="23"/>
    </row>
    <row r="108" spans="1:15" s="54" customFormat="1" x14ac:dyDescent="0.2">
      <c r="A108" s="57"/>
      <c r="B108" s="65" t="s">
        <v>2749</v>
      </c>
      <c r="C108" s="58" t="s">
        <v>2750</v>
      </c>
      <c r="D108" s="59">
        <v>0</v>
      </c>
      <c r="E108" s="59"/>
      <c r="F108" s="60">
        <v>11</v>
      </c>
      <c r="G108" s="60">
        <v>1</v>
      </c>
      <c r="H108" s="60">
        <v>218</v>
      </c>
      <c r="I108" s="61">
        <f>H108/(F108-G108)</f>
        <v>21.8</v>
      </c>
      <c r="J108" s="60">
        <v>57</v>
      </c>
      <c r="K108" s="62">
        <v>28</v>
      </c>
      <c r="L108" s="62">
        <v>6</v>
      </c>
      <c r="M108" s="62">
        <v>135</v>
      </c>
      <c r="N108" s="63">
        <f>M108/L108</f>
        <v>22.5</v>
      </c>
      <c r="O108" s="66" t="s">
        <v>1789</v>
      </c>
    </row>
    <row r="109" spans="1:15" x14ac:dyDescent="0.2">
      <c r="A109" s="4">
        <v>1764930</v>
      </c>
      <c r="B109" s="35" t="s">
        <v>1830</v>
      </c>
      <c r="C109" s="2" t="s">
        <v>1454</v>
      </c>
      <c r="D109" s="7">
        <f>10+6+8</f>
        <v>24</v>
      </c>
      <c r="E109" s="7">
        <f>0</f>
        <v>0</v>
      </c>
      <c r="F109" s="17">
        <f>7+11+12</f>
        <v>30</v>
      </c>
      <c r="G109" s="17">
        <f>2+1+2</f>
        <v>5</v>
      </c>
      <c r="H109" s="17">
        <f>65+159+93</f>
        <v>317</v>
      </c>
      <c r="I109" s="16">
        <f>H109/(F109-G109)</f>
        <v>12.68</v>
      </c>
      <c r="J109" s="17">
        <v>71</v>
      </c>
      <c r="K109" s="25">
        <f>52.4+30+39</f>
        <v>121.4</v>
      </c>
      <c r="L109" s="25">
        <f>13+3+8</f>
        <v>24</v>
      </c>
      <c r="M109" s="25">
        <f>171+166+205</f>
        <v>542</v>
      </c>
      <c r="N109" s="24">
        <f>M109/L109</f>
        <v>22.583333333333332</v>
      </c>
      <c r="O109" s="49" t="s">
        <v>1471</v>
      </c>
    </row>
    <row r="110" spans="1:15" s="5" customFormat="1" x14ac:dyDescent="0.2">
      <c r="A110" s="4">
        <v>1785237</v>
      </c>
      <c r="B110" s="35" t="s">
        <v>2306</v>
      </c>
      <c r="C110" s="2" t="s">
        <v>2307</v>
      </c>
      <c r="D110" s="7">
        <f>0</f>
        <v>0</v>
      </c>
      <c r="E110" s="7">
        <f>0</f>
        <v>0</v>
      </c>
      <c r="F110" s="17">
        <f>1</f>
        <v>1</v>
      </c>
      <c r="G110" s="17">
        <f>0</f>
        <v>0</v>
      </c>
      <c r="H110" s="17">
        <f>0</f>
        <v>0</v>
      </c>
      <c r="I110" s="16">
        <f>H110/(F110-G110)</f>
        <v>0</v>
      </c>
      <c r="J110" s="17">
        <v>0</v>
      </c>
      <c r="K110" s="25">
        <f>1</f>
        <v>1</v>
      </c>
      <c r="L110" s="25">
        <f>1</f>
        <v>1</v>
      </c>
      <c r="M110" s="25">
        <f>8</f>
        <v>8</v>
      </c>
      <c r="N110" s="24">
        <f>M110/L110</f>
        <v>8</v>
      </c>
      <c r="O110" s="49" t="s">
        <v>1386</v>
      </c>
    </row>
    <row r="111" spans="1:15" x14ac:dyDescent="0.2">
      <c r="A111" s="4"/>
      <c r="B111" s="35" t="s">
        <v>503</v>
      </c>
      <c r="C111" s="2" t="s">
        <v>9</v>
      </c>
      <c r="D111" s="7">
        <v>1</v>
      </c>
      <c r="E111" s="7"/>
      <c r="F111" s="17">
        <f>11+3</f>
        <v>14</v>
      </c>
      <c r="G111" s="17">
        <v>1</v>
      </c>
      <c r="H111" s="17">
        <f>117+33</f>
        <v>150</v>
      </c>
      <c r="I111" s="16">
        <f>H111/(F111-G111)</f>
        <v>11.538461538461538</v>
      </c>
      <c r="J111" s="17">
        <v>49</v>
      </c>
      <c r="K111" s="25">
        <f>100+23</f>
        <v>123</v>
      </c>
      <c r="L111" s="25">
        <f>23+5</f>
        <v>28</v>
      </c>
      <c r="M111" s="25">
        <f>320+62</f>
        <v>382</v>
      </c>
      <c r="N111" s="24">
        <f>M111/L111</f>
        <v>13.642857142857142</v>
      </c>
      <c r="O111" s="23"/>
    </row>
    <row r="112" spans="1:15" x14ac:dyDescent="0.2">
      <c r="A112" s="4"/>
      <c r="B112" s="35" t="s">
        <v>504</v>
      </c>
      <c r="C112" s="2" t="s">
        <v>12</v>
      </c>
      <c r="D112" s="7">
        <v>3</v>
      </c>
      <c r="E112" s="7"/>
      <c r="F112" s="17">
        <v>5</v>
      </c>
      <c r="G112" s="17"/>
      <c r="H112" s="17">
        <v>14</v>
      </c>
      <c r="I112" s="16">
        <f>H112/(F112-G112)</f>
        <v>2.8</v>
      </c>
      <c r="J112" s="17">
        <v>4</v>
      </c>
      <c r="K112" s="25">
        <v>2</v>
      </c>
      <c r="L112" s="25">
        <v>0</v>
      </c>
      <c r="M112" s="25">
        <v>14</v>
      </c>
      <c r="N112" s="24" t="e">
        <f>M112/L112</f>
        <v>#DIV/0!</v>
      </c>
      <c r="O112" s="23"/>
    </row>
    <row r="113" spans="1:15" x14ac:dyDescent="0.2">
      <c r="A113" s="57"/>
      <c r="B113" s="65" t="s">
        <v>2731</v>
      </c>
      <c r="C113" s="58" t="s">
        <v>132</v>
      </c>
      <c r="D113" s="59">
        <v>0</v>
      </c>
      <c r="E113" s="59"/>
      <c r="F113" s="60">
        <v>14</v>
      </c>
      <c r="G113" s="60">
        <v>0</v>
      </c>
      <c r="H113" s="60">
        <v>161</v>
      </c>
      <c r="I113" s="61">
        <f>H113/(F113-G113)</f>
        <v>11.5</v>
      </c>
      <c r="J113" s="60">
        <v>41</v>
      </c>
      <c r="K113" s="62">
        <v>38</v>
      </c>
      <c r="L113" s="62">
        <v>8</v>
      </c>
      <c r="M113" s="62">
        <v>93</v>
      </c>
      <c r="N113" s="63">
        <f>M113/L113</f>
        <v>11.625</v>
      </c>
      <c r="O113" s="66" t="s">
        <v>2634</v>
      </c>
    </row>
    <row r="114" spans="1:15" s="54" customFormat="1" x14ac:dyDescent="0.2">
      <c r="A114" s="4"/>
      <c r="B114" s="35" t="s">
        <v>505</v>
      </c>
      <c r="C114" s="2" t="s">
        <v>11</v>
      </c>
      <c r="D114" s="7">
        <v>0</v>
      </c>
      <c r="E114" s="7"/>
      <c r="F114" s="17">
        <v>10</v>
      </c>
      <c r="G114" s="17">
        <v>3</v>
      </c>
      <c r="H114" s="17">
        <v>4</v>
      </c>
      <c r="I114" s="16">
        <f>H114/(F114-G114)</f>
        <v>0.5714285714285714</v>
      </c>
      <c r="J114" s="17"/>
      <c r="K114" s="25">
        <v>20</v>
      </c>
      <c r="L114" s="25">
        <v>2</v>
      </c>
      <c r="M114" s="25">
        <v>86</v>
      </c>
      <c r="N114" s="24">
        <f>M114/L114</f>
        <v>43</v>
      </c>
      <c r="O114" s="23"/>
    </row>
    <row r="115" spans="1:15" x14ac:dyDescent="0.2">
      <c r="A115" s="84">
        <v>1379602</v>
      </c>
      <c r="B115" s="35" t="s">
        <v>1663</v>
      </c>
      <c r="C115" s="2" t="s">
        <v>1664</v>
      </c>
      <c r="D115" s="7">
        <f>0</f>
        <v>0</v>
      </c>
      <c r="E115" s="7">
        <f>0</f>
        <v>0</v>
      </c>
      <c r="F115" s="17">
        <f>1</f>
        <v>1</v>
      </c>
      <c r="G115" s="17">
        <f>0</f>
        <v>0</v>
      </c>
      <c r="H115" s="17">
        <v>72</v>
      </c>
      <c r="I115" s="16">
        <f>H115/(F115-G115)</f>
        <v>72</v>
      </c>
      <c r="J115" s="17">
        <v>72</v>
      </c>
      <c r="K115" s="25">
        <f>5</f>
        <v>5</v>
      </c>
      <c r="L115" s="25">
        <f>4</f>
        <v>4</v>
      </c>
      <c r="M115" s="25">
        <f>22</f>
        <v>22</v>
      </c>
      <c r="N115" s="24">
        <f>M115/L115</f>
        <v>5.5</v>
      </c>
      <c r="O115" s="49" t="s">
        <v>1785</v>
      </c>
    </row>
    <row r="116" spans="1:15" x14ac:dyDescent="0.2">
      <c r="A116" s="4">
        <v>2169184</v>
      </c>
      <c r="B116" s="35" t="s">
        <v>2289</v>
      </c>
      <c r="C116" s="2" t="s">
        <v>2290</v>
      </c>
      <c r="D116" s="7">
        <f>0+0</f>
        <v>0</v>
      </c>
      <c r="E116" s="7">
        <f>0+0</f>
        <v>0</v>
      </c>
      <c r="F116" s="17">
        <f>3+4</f>
        <v>7</v>
      </c>
      <c r="G116" s="17">
        <f>2+2</f>
        <v>4</v>
      </c>
      <c r="H116" s="17">
        <f>2+0</f>
        <v>2</v>
      </c>
      <c r="I116" s="16">
        <f>H116/(F116-G116)</f>
        <v>0.66666666666666663</v>
      </c>
      <c r="J116" s="17" t="s">
        <v>323</v>
      </c>
      <c r="K116" s="25">
        <f>5+9</f>
        <v>14</v>
      </c>
      <c r="L116" s="25">
        <f>0+0</f>
        <v>0</v>
      </c>
      <c r="M116" s="25">
        <f>27+37</f>
        <v>64</v>
      </c>
      <c r="N116" s="24" t="e">
        <f>M116/L116</f>
        <v>#DIV/0!</v>
      </c>
      <c r="O116" s="49" t="s">
        <v>2264</v>
      </c>
    </row>
    <row r="117" spans="1:15" s="54" customFormat="1" x14ac:dyDescent="0.2">
      <c r="A117" s="4">
        <v>1741314</v>
      </c>
      <c r="B117" s="35" t="s">
        <v>2056</v>
      </c>
      <c r="C117" s="2" t="s">
        <v>1965</v>
      </c>
      <c r="D117" s="7">
        <f>1</f>
        <v>1</v>
      </c>
      <c r="E117" s="7"/>
      <c r="F117" s="17">
        <f>2</f>
        <v>2</v>
      </c>
      <c r="G117" s="17">
        <f>0</f>
        <v>0</v>
      </c>
      <c r="H117" s="17">
        <f>10</f>
        <v>10</v>
      </c>
      <c r="I117" s="16">
        <f>H117/(F117-G117)</f>
        <v>5</v>
      </c>
      <c r="J117" s="17">
        <v>10</v>
      </c>
      <c r="K117" s="25"/>
      <c r="L117" s="25"/>
      <c r="M117" s="25"/>
      <c r="N117" s="24" t="e">
        <f>M117/L117</f>
        <v>#DIV/0!</v>
      </c>
      <c r="O117" s="23"/>
    </row>
    <row r="118" spans="1:15" x14ac:dyDescent="0.2">
      <c r="A118" s="57">
        <v>2009613</v>
      </c>
      <c r="B118" s="65" t="s">
        <v>2308</v>
      </c>
      <c r="C118" s="58" t="s">
        <v>2309</v>
      </c>
      <c r="D118" s="59">
        <f>2+1</f>
        <v>3</v>
      </c>
      <c r="E118" s="59">
        <f>0</f>
        <v>0</v>
      </c>
      <c r="F118" s="60">
        <f>7+2+1</f>
        <v>10</v>
      </c>
      <c r="G118" s="60">
        <f>5+1</f>
        <v>6</v>
      </c>
      <c r="H118" s="60">
        <f>8+2</f>
        <v>10</v>
      </c>
      <c r="I118" s="61">
        <f>H118/(F118-G118)</f>
        <v>2.5</v>
      </c>
      <c r="J118" s="60" t="s">
        <v>289</v>
      </c>
      <c r="K118" s="62">
        <f>74+89+123.1</f>
        <v>286.10000000000002</v>
      </c>
      <c r="L118" s="62">
        <f>13+23+32</f>
        <v>68</v>
      </c>
      <c r="M118" s="62">
        <f>335+250+324</f>
        <v>909</v>
      </c>
      <c r="N118" s="63">
        <f>M118/L118</f>
        <v>13.367647058823529</v>
      </c>
      <c r="O118" s="66" t="s">
        <v>2653</v>
      </c>
    </row>
    <row r="119" spans="1:15" x14ac:dyDescent="0.2">
      <c r="A119" s="4">
        <v>1890728</v>
      </c>
      <c r="B119" s="35" t="s">
        <v>2057</v>
      </c>
      <c r="C119" s="2" t="s">
        <v>1664</v>
      </c>
      <c r="D119" s="7">
        <f>1</f>
        <v>1</v>
      </c>
      <c r="E119" s="7"/>
      <c r="F119" s="17">
        <f>11</f>
        <v>11</v>
      </c>
      <c r="G119" s="17">
        <f>0</f>
        <v>0</v>
      </c>
      <c r="H119" s="17">
        <f>61</f>
        <v>61</v>
      </c>
      <c r="I119" s="16">
        <f>H119/(F119-G119)</f>
        <v>5.5454545454545459</v>
      </c>
      <c r="J119" s="17">
        <v>20</v>
      </c>
      <c r="K119" s="25"/>
      <c r="L119" s="25"/>
      <c r="M119" s="25"/>
      <c r="N119" s="24" t="e">
        <f>M119/L119</f>
        <v>#DIV/0!</v>
      </c>
      <c r="O119" s="23"/>
    </row>
    <row r="120" spans="1:15" s="54" customFormat="1" x14ac:dyDescent="0.2">
      <c r="A120" s="4"/>
      <c r="B120" s="35" t="s">
        <v>506</v>
      </c>
      <c r="C120" s="2" t="s">
        <v>18</v>
      </c>
      <c r="D120" s="7">
        <f>4+4+1+3</f>
        <v>12</v>
      </c>
      <c r="E120" s="7"/>
      <c r="F120" s="17">
        <f>29+9+7+12</f>
        <v>57</v>
      </c>
      <c r="G120" s="17">
        <f>2+2+1+5</f>
        <v>10</v>
      </c>
      <c r="H120" s="17">
        <f>82+12+31+23</f>
        <v>148</v>
      </c>
      <c r="I120" s="16">
        <f>H120/(F120-G120)</f>
        <v>3.1489361702127661</v>
      </c>
      <c r="J120" s="17">
        <v>14</v>
      </c>
      <c r="K120" s="25">
        <f>36+6+8+6</f>
        <v>56</v>
      </c>
      <c r="L120" s="25">
        <f>6+1+2</f>
        <v>9</v>
      </c>
      <c r="M120" s="25">
        <f>179+25+28+41</f>
        <v>273</v>
      </c>
      <c r="N120" s="24">
        <f>M120/L120</f>
        <v>30.333333333333332</v>
      </c>
      <c r="O120" s="23"/>
    </row>
    <row r="121" spans="1:15" x14ac:dyDescent="0.2">
      <c r="A121" s="4">
        <v>1544722</v>
      </c>
      <c r="B121" s="55" t="s">
        <v>1523</v>
      </c>
      <c r="C121" s="2" t="s">
        <v>1515</v>
      </c>
      <c r="D121" s="7">
        <f>2</f>
        <v>2</v>
      </c>
      <c r="E121" s="7">
        <f>0</f>
        <v>0</v>
      </c>
      <c r="F121" s="17">
        <f>10</f>
        <v>10</v>
      </c>
      <c r="G121" s="17">
        <f>3</f>
        <v>3</v>
      </c>
      <c r="H121" s="17">
        <f>126</f>
        <v>126</v>
      </c>
      <c r="I121" s="16">
        <f>H121/(F121-G121)</f>
        <v>18</v>
      </c>
      <c r="J121" s="17">
        <v>61</v>
      </c>
      <c r="K121" s="25">
        <f>52</f>
        <v>52</v>
      </c>
      <c r="L121" s="25">
        <f>4</f>
        <v>4</v>
      </c>
      <c r="M121" s="25">
        <f>163</f>
        <v>163</v>
      </c>
      <c r="N121" s="24">
        <f>M121/L121</f>
        <v>40.75</v>
      </c>
      <c r="O121" s="49" t="s">
        <v>1619</v>
      </c>
    </row>
    <row r="122" spans="1:15" x14ac:dyDescent="0.2">
      <c r="A122" s="4">
        <v>682301</v>
      </c>
      <c r="B122" s="35" t="s">
        <v>507</v>
      </c>
      <c r="C122" s="2" t="s">
        <v>391</v>
      </c>
      <c r="D122" s="7">
        <f>3+2+12+1+2+8+9+8+8+3+0+4+6+7+5+5+10+3+5+6+8+8</f>
        <v>123</v>
      </c>
      <c r="E122" s="7">
        <f>0+0</f>
        <v>0</v>
      </c>
      <c r="F122" s="17">
        <f>10+10+1+11+1+2+2+1+1+1+11+1+12+1+1+7+9+1+16+1+15+16+14+11+13+9+9+11+9+9+8</f>
        <v>224</v>
      </c>
      <c r="G122" s="17">
        <f>2+2+1+2+1+0+0+0+1+2+1+1+2+5+5+2+4+2</f>
        <v>33</v>
      </c>
      <c r="H122" s="17">
        <f>24+190+3+182+12+3+193+14+90+2+12+74+165+32+492+23+210+242+412+144+219+55+137+263+287+122+146</f>
        <v>3748</v>
      </c>
      <c r="I122" s="16">
        <f>H122/(F122-G122)</f>
        <v>19.623036649214658</v>
      </c>
      <c r="J122" s="17" t="s">
        <v>413</v>
      </c>
      <c r="K122" s="25">
        <f>31+46+40+4+8+73+10+102+26+84+12+120+106+126+122.4+67.6+154.3+105.5+(1.2)+141.1+174.4+134.3+(0.4)+162.3+143.3+(0.4)</f>
        <v>1995.2</v>
      </c>
      <c r="L122" s="25">
        <f>6+14+5+3+4+18+2+17+4+21+1+39+14+18+31+11+40+32+36+37+30+24+40</f>
        <v>447</v>
      </c>
      <c r="M122" s="25">
        <f>81+137+123+23+60+186+16+382+143+231+29+450+389+453+423+273+569+354+547+517+509+606+394</f>
        <v>6895</v>
      </c>
      <c r="N122" s="24">
        <f>M122/L122</f>
        <v>15.425055928411632</v>
      </c>
      <c r="O122" s="49" t="s">
        <v>1620</v>
      </c>
    </row>
    <row r="123" spans="1:15" s="54" customFormat="1" x14ac:dyDescent="0.2">
      <c r="A123" s="4"/>
      <c r="B123" s="35" t="s">
        <v>508</v>
      </c>
      <c r="C123" s="2" t="s">
        <v>148</v>
      </c>
      <c r="D123" s="7">
        <f>1+1+44+2+2+1+1+0+0</f>
        <v>52</v>
      </c>
      <c r="E123" s="7"/>
      <c r="F123" s="17">
        <f>11+2+3+1+2+100+3+2+1+1+2+1+2</f>
        <v>131</v>
      </c>
      <c r="G123" s="17">
        <f>2+1+8+2+2+1+0+0+1+1</f>
        <v>18</v>
      </c>
      <c r="H123" s="17">
        <f>175+15+24+4+2+1414+40+1+0+6+5+3+4</f>
        <v>1693</v>
      </c>
      <c r="I123" s="16">
        <f>H123/(F123-G123)</f>
        <v>14.982300884955752</v>
      </c>
      <c r="J123" s="17" t="s">
        <v>336</v>
      </c>
      <c r="K123" s="25">
        <f>10+11+686.1+3+4</f>
        <v>714.1</v>
      </c>
      <c r="L123" s="25">
        <f>3+3+130+1</f>
        <v>137</v>
      </c>
      <c r="M123" s="25">
        <f>67+23+2212+12+9</f>
        <v>2323</v>
      </c>
      <c r="N123" s="24">
        <f>M123/L123</f>
        <v>16.956204379562045</v>
      </c>
      <c r="O123" s="23"/>
    </row>
    <row r="124" spans="1:15" x14ac:dyDescent="0.2">
      <c r="A124" s="4"/>
      <c r="B124" s="35" t="s">
        <v>509</v>
      </c>
      <c r="C124" s="2" t="s">
        <v>94</v>
      </c>
      <c r="D124" s="7">
        <v>24</v>
      </c>
      <c r="E124" s="7"/>
      <c r="F124" s="17">
        <v>61</v>
      </c>
      <c r="G124" s="17">
        <v>7</v>
      </c>
      <c r="H124" s="17">
        <v>865</v>
      </c>
      <c r="I124" s="16">
        <f>H124/(F124-G124)</f>
        <v>16.018518518518519</v>
      </c>
      <c r="J124" s="17" t="s">
        <v>394</v>
      </c>
      <c r="K124" s="25">
        <v>10.199999999999999</v>
      </c>
      <c r="L124" s="25">
        <v>4</v>
      </c>
      <c r="M124" s="25">
        <v>62</v>
      </c>
      <c r="N124" s="24">
        <f>M124/L124</f>
        <v>15.5</v>
      </c>
      <c r="O124" s="23"/>
    </row>
    <row r="125" spans="1:15" x14ac:dyDescent="0.2">
      <c r="A125" s="4">
        <v>728655</v>
      </c>
      <c r="B125" s="35" t="s">
        <v>1831</v>
      </c>
      <c r="C125" s="2" t="s">
        <v>148</v>
      </c>
      <c r="D125" s="7">
        <f>5</f>
        <v>5</v>
      </c>
      <c r="E125" s="7">
        <f>0</f>
        <v>0</v>
      </c>
      <c r="F125" s="17">
        <f>9</f>
        <v>9</v>
      </c>
      <c r="G125" s="17">
        <f>1</f>
        <v>1</v>
      </c>
      <c r="H125" s="17">
        <f>71</f>
        <v>71</v>
      </c>
      <c r="I125" s="16">
        <f>H125/(F125-G125)</f>
        <v>8.875</v>
      </c>
      <c r="J125" s="17">
        <v>22</v>
      </c>
      <c r="K125" s="25"/>
      <c r="L125" s="25"/>
      <c r="M125" s="25"/>
      <c r="N125" s="24" t="e">
        <f>M125/L125</f>
        <v>#DIV/0!</v>
      </c>
      <c r="O125" s="23"/>
    </row>
    <row r="126" spans="1:15" s="54" customFormat="1" x14ac:dyDescent="0.2">
      <c r="A126" s="84">
        <v>1615368</v>
      </c>
      <c r="B126" s="35" t="s">
        <v>1665</v>
      </c>
      <c r="C126" s="2" t="s">
        <v>151</v>
      </c>
      <c r="D126" s="7">
        <f>0</f>
        <v>0</v>
      </c>
      <c r="E126" s="7">
        <f>0</f>
        <v>0</v>
      </c>
      <c r="F126" s="17">
        <f>3</f>
        <v>3</v>
      </c>
      <c r="G126" s="17">
        <f>0</f>
        <v>0</v>
      </c>
      <c r="H126" s="17">
        <f>17</f>
        <v>17</v>
      </c>
      <c r="I126" s="16">
        <f>H126/(F126-G126)</f>
        <v>5.666666666666667</v>
      </c>
      <c r="J126" s="17">
        <v>12</v>
      </c>
      <c r="K126" s="25"/>
      <c r="L126" s="25"/>
      <c r="M126" s="25"/>
      <c r="N126" s="24" t="e">
        <f>M126/L126</f>
        <v>#DIV/0!</v>
      </c>
      <c r="O126" s="23"/>
    </row>
    <row r="127" spans="1:15" x14ac:dyDescent="0.2">
      <c r="A127" s="84">
        <v>1615387</v>
      </c>
      <c r="B127" s="35" t="s">
        <v>1666</v>
      </c>
      <c r="C127" s="2" t="s">
        <v>1667</v>
      </c>
      <c r="D127" s="7">
        <f>3+8+7+4</f>
        <v>22</v>
      </c>
      <c r="E127" s="7">
        <f>0</f>
        <v>0</v>
      </c>
      <c r="F127" s="17">
        <f>7+11+10+8</f>
        <v>36</v>
      </c>
      <c r="G127" s="17">
        <f>0+2+1+0</f>
        <v>3</v>
      </c>
      <c r="H127" s="17">
        <f>94+118+95+27</f>
        <v>334</v>
      </c>
      <c r="I127" s="16">
        <f>H127/(F127-G127)</f>
        <v>10.121212121212121</v>
      </c>
      <c r="J127" s="17">
        <v>40</v>
      </c>
      <c r="K127" s="25">
        <f>34+60.1+37</f>
        <v>131.1</v>
      </c>
      <c r="L127" s="25">
        <f>9+11+10</f>
        <v>30</v>
      </c>
      <c r="M127" s="25">
        <f>86+248+130</f>
        <v>464</v>
      </c>
      <c r="N127" s="24">
        <f>M127/L127</f>
        <v>15.466666666666667</v>
      </c>
      <c r="O127" s="49" t="s">
        <v>2278</v>
      </c>
    </row>
    <row r="128" spans="1:15" x14ac:dyDescent="0.2">
      <c r="A128" s="4">
        <v>1976016</v>
      </c>
      <c r="B128" s="35" t="s">
        <v>2058</v>
      </c>
      <c r="C128" s="2" t="s">
        <v>2059</v>
      </c>
      <c r="D128" s="7">
        <f>0</f>
        <v>0</v>
      </c>
      <c r="E128" s="7"/>
      <c r="F128" s="17">
        <f>2</f>
        <v>2</v>
      </c>
      <c r="G128" s="17">
        <f>2</f>
        <v>2</v>
      </c>
      <c r="H128" s="17">
        <f>12</f>
        <v>12</v>
      </c>
      <c r="I128" s="16" t="e">
        <f>H128/(F128-G128)</f>
        <v>#DIV/0!</v>
      </c>
      <c r="J128" s="17" t="s">
        <v>347</v>
      </c>
      <c r="K128" s="25">
        <f>4</f>
        <v>4</v>
      </c>
      <c r="L128" s="25">
        <f>2</f>
        <v>2</v>
      </c>
      <c r="M128" s="25">
        <f>27</f>
        <v>27</v>
      </c>
      <c r="N128" s="24">
        <f>M128/L128</f>
        <v>13.5</v>
      </c>
      <c r="O128" s="49" t="s">
        <v>1618</v>
      </c>
    </row>
    <row r="129" spans="1:15" x14ac:dyDescent="0.2">
      <c r="A129" s="4">
        <v>1799296</v>
      </c>
      <c r="B129" s="35" t="s">
        <v>1832</v>
      </c>
      <c r="C129" s="2" t="s">
        <v>1833</v>
      </c>
      <c r="D129" s="7">
        <f>1+0</f>
        <v>1</v>
      </c>
      <c r="E129" s="7">
        <f>0</f>
        <v>0</v>
      </c>
      <c r="F129" s="17">
        <f>5+3</f>
        <v>8</v>
      </c>
      <c r="G129" s="17">
        <f>1+0</f>
        <v>1</v>
      </c>
      <c r="H129" s="17">
        <f>94+16</f>
        <v>110</v>
      </c>
      <c r="I129" s="16">
        <f>H129/(F129-G129)</f>
        <v>15.714285714285714</v>
      </c>
      <c r="J129" s="17">
        <v>35</v>
      </c>
      <c r="K129" s="25">
        <f>8+6</f>
        <v>14</v>
      </c>
      <c r="L129" s="25">
        <f>2+0</f>
        <v>2</v>
      </c>
      <c r="M129" s="25">
        <f>39+29</f>
        <v>68</v>
      </c>
      <c r="N129" s="24">
        <f>M129/L129</f>
        <v>34</v>
      </c>
      <c r="O129" s="49" t="s">
        <v>2019</v>
      </c>
    </row>
    <row r="130" spans="1:15" s="5" customFormat="1" x14ac:dyDescent="0.2">
      <c r="A130" s="64"/>
      <c r="B130" s="65" t="s">
        <v>2663</v>
      </c>
      <c r="C130" s="58" t="s">
        <v>2664</v>
      </c>
      <c r="D130" s="59">
        <v>1</v>
      </c>
      <c r="E130" s="59"/>
      <c r="F130" s="60">
        <v>7</v>
      </c>
      <c r="G130" s="60">
        <v>0</v>
      </c>
      <c r="H130" s="60">
        <v>43</v>
      </c>
      <c r="I130" s="61">
        <f>H130/(F130-G130)</f>
        <v>6.1428571428571432</v>
      </c>
      <c r="J130" s="60">
        <v>16</v>
      </c>
      <c r="K130" s="62">
        <v>14</v>
      </c>
      <c r="L130" s="62">
        <v>3</v>
      </c>
      <c r="M130" s="62">
        <v>81</v>
      </c>
      <c r="N130" s="63">
        <f>M130/L130</f>
        <v>27</v>
      </c>
      <c r="O130" s="66" t="s">
        <v>2274</v>
      </c>
    </row>
    <row r="131" spans="1:15" s="54" customFormat="1" x14ac:dyDescent="0.2">
      <c r="A131" s="4">
        <v>1266168</v>
      </c>
      <c r="B131" s="55" t="s">
        <v>1524</v>
      </c>
      <c r="C131" s="2" t="s">
        <v>1516</v>
      </c>
      <c r="D131" s="7">
        <f>3+7+1+3</f>
        <v>14</v>
      </c>
      <c r="E131" s="7">
        <f>0</f>
        <v>0</v>
      </c>
      <c r="F131" s="17">
        <f>6+5+6+8</f>
        <v>25</v>
      </c>
      <c r="G131" s="17">
        <f>1+0+2+0</f>
        <v>3</v>
      </c>
      <c r="H131" s="17">
        <f>48+2+34+31</f>
        <v>115</v>
      </c>
      <c r="I131" s="16">
        <f>H131/(F131-G131)</f>
        <v>5.2272727272727275</v>
      </c>
      <c r="J131" s="17" t="s">
        <v>417</v>
      </c>
      <c r="K131" s="25">
        <f>104+134+118+55</f>
        <v>411</v>
      </c>
      <c r="L131" s="25">
        <f>23+39+19+10</f>
        <v>91</v>
      </c>
      <c r="M131" s="25">
        <f>429+413+349+179</f>
        <v>1370</v>
      </c>
      <c r="N131" s="24">
        <f>M131/L131</f>
        <v>15.054945054945055</v>
      </c>
      <c r="O131" s="49" t="s">
        <v>1786</v>
      </c>
    </row>
    <row r="132" spans="1:15" x14ac:dyDescent="0.2">
      <c r="A132" s="4"/>
      <c r="B132" s="35" t="s">
        <v>195</v>
      </c>
      <c r="C132" s="2"/>
      <c r="D132" s="7">
        <v>22</v>
      </c>
      <c r="E132" s="7"/>
      <c r="F132" s="17">
        <v>28</v>
      </c>
      <c r="G132" s="17">
        <v>2</v>
      </c>
      <c r="H132" s="17">
        <v>825</v>
      </c>
      <c r="I132" s="16">
        <f>H132/(F132-G132)</f>
        <v>31.73076923076923</v>
      </c>
      <c r="J132" s="17">
        <v>65</v>
      </c>
      <c r="K132" s="25">
        <v>171</v>
      </c>
      <c r="L132" s="25">
        <v>35</v>
      </c>
      <c r="M132" s="25">
        <v>416</v>
      </c>
      <c r="N132" s="24">
        <f>M132/L132</f>
        <v>11.885714285714286</v>
      </c>
      <c r="O132" s="23"/>
    </row>
    <row r="133" spans="1:15" s="54" customFormat="1" x14ac:dyDescent="0.2">
      <c r="A133" s="4"/>
      <c r="B133" s="34" t="s">
        <v>510</v>
      </c>
      <c r="C133" s="2" t="s">
        <v>245</v>
      </c>
      <c r="D133" s="7">
        <f>0</f>
        <v>0</v>
      </c>
      <c r="E133" s="7"/>
      <c r="F133" s="17">
        <f>4</f>
        <v>4</v>
      </c>
      <c r="G133" s="17">
        <f>2</f>
        <v>2</v>
      </c>
      <c r="H133" s="17">
        <f>0</f>
        <v>0</v>
      </c>
      <c r="I133" s="16">
        <f>H133/(F133-G133)</f>
        <v>0</v>
      </c>
      <c r="J133" s="17" t="s">
        <v>372</v>
      </c>
      <c r="K133" s="25">
        <f>1</f>
        <v>1</v>
      </c>
      <c r="L133" s="25">
        <f>0</f>
        <v>0</v>
      </c>
      <c r="M133" s="25">
        <f>10</f>
        <v>10</v>
      </c>
      <c r="N133" s="24" t="e">
        <f>M133/L133</f>
        <v>#DIV/0!</v>
      </c>
      <c r="O133" s="23"/>
    </row>
    <row r="134" spans="1:15" s="5" customFormat="1" x14ac:dyDescent="0.2">
      <c r="A134" s="4"/>
      <c r="B134" s="35" t="s">
        <v>511</v>
      </c>
      <c r="C134" s="2" t="s">
        <v>11</v>
      </c>
      <c r="D134" s="7">
        <v>86</v>
      </c>
      <c r="E134" s="7"/>
      <c r="F134" s="17">
        <v>174</v>
      </c>
      <c r="G134" s="17">
        <v>19</v>
      </c>
      <c r="H134" s="17">
        <v>2608</v>
      </c>
      <c r="I134" s="16">
        <f>H134/(F134-G134)</f>
        <v>16.825806451612902</v>
      </c>
      <c r="J134" s="17">
        <v>102</v>
      </c>
      <c r="K134" s="25">
        <v>6</v>
      </c>
      <c r="L134" s="25">
        <v>2</v>
      </c>
      <c r="M134" s="25">
        <v>13</v>
      </c>
      <c r="N134" s="24">
        <f>M134/L134</f>
        <v>6.5</v>
      </c>
      <c r="O134" s="23"/>
    </row>
    <row r="135" spans="1:15" x14ac:dyDescent="0.2">
      <c r="A135" s="84">
        <v>675289</v>
      </c>
      <c r="B135" s="35" t="s">
        <v>1668</v>
      </c>
      <c r="C135" s="2" t="s">
        <v>1669</v>
      </c>
      <c r="D135" s="7">
        <f>0</f>
        <v>0</v>
      </c>
      <c r="E135" s="7">
        <f>0</f>
        <v>0</v>
      </c>
      <c r="F135" s="17">
        <f>1</f>
        <v>1</v>
      </c>
      <c r="G135" s="17">
        <f>0</f>
        <v>0</v>
      </c>
      <c r="H135" s="17">
        <f>16</f>
        <v>16</v>
      </c>
      <c r="I135" s="16">
        <f>H135/(F135-G135)</f>
        <v>16</v>
      </c>
      <c r="J135" s="17">
        <v>16</v>
      </c>
      <c r="K135" s="25">
        <f>7</f>
        <v>7</v>
      </c>
      <c r="L135" s="25">
        <f>0</f>
        <v>0</v>
      </c>
      <c r="M135" s="25">
        <f>31</f>
        <v>31</v>
      </c>
      <c r="N135" s="24" t="e">
        <f>M135/L135</f>
        <v>#DIV/0!</v>
      </c>
      <c r="O135" s="23"/>
    </row>
    <row r="136" spans="1:15" s="5" customFormat="1" x14ac:dyDescent="0.2">
      <c r="A136" s="4">
        <v>886460</v>
      </c>
      <c r="B136" s="35" t="s">
        <v>1834</v>
      </c>
      <c r="C136" s="2" t="s">
        <v>1835</v>
      </c>
      <c r="D136" s="7">
        <f>0</f>
        <v>0</v>
      </c>
      <c r="E136" s="7">
        <f>0</f>
        <v>0</v>
      </c>
      <c r="F136" s="17">
        <f>3</f>
        <v>3</v>
      </c>
      <c r="G136" s="17">
        <f>0</f>
        <v>0</v>
      </c>
      <c r="H136" s="17">
        <f>12</f>
        <v>12</v>
      </c>
      <c r="I136" s="16">
        <f>H136/(F136-G136)</f>
        <v>4</v>
      </c>
      <c r="J136" s="17">
        <v>6</v>
      </c>
      <c r="K136" s="25"/>
      <c r="L136" s="25"/>
      <c r="M136" s="25"/>
      <c r="N136" s="24" t="e">
        <f>M136/L136</f>
        <v>#DIV/0!</v>
      </c>
      <c r="O136" s="23"/>
    </row>
    <row r="137" spans="1:15" x14ac:dyDescent="0.2">
      <c r="A137" s="4">
        <v>1906931</v>
      </c>
      <c r="B137" s="35" t="s">
        <v>2060</v>
      </c>
      <c r="C137" s="2" t="s">
        <v>1579</v>
      </c>
      <c r="D137" s="7">
        <f>2</f>
        <v>2</v>
      </c>
      <c r="E137" s="7"/>
      <c r="F137" s="17">
        <f>4</f>
        <v>4</v>
      </c>
      <c r="G137" s="17">
        <f>0</f>
        <v>0</v>
      </c>
      <c r="H137" s="17">
        <f>14</f>
        <v>14</v>
      </c>
      <c r="I137" s="16">
        <f>H137/(F137-G137)</f>
        <v>3.5</v>
      </c>
      <c r="J137" s="17">
        <v>10</v>
      </c>
      <c r="K137" s="25">
        <f>46</f>
        <v>46</v>
      </c>
      <c r="L137" s="25">
        <f>8</f>
        <v>8</v>
      </c>
      <c r="M137" s="25">
        <f>199</f>
        <v>199</v>
      </c>
      <c r="N137" s="24">
        <f>M137/L137</f>
        <v>24.875</v>
      </c>
      <c r="O137" s="49" t="s">
        <v>1470</v>
      </c>
    </row>
    <row r="138" spans="1:15" x14ac:dyDescent="0.2">
      <c r="A138" s="4">
        <v>1139625</v>
      </c>
      <c r="B138" s="35" t="s">
        <v>2061</v>
      </c>
      <c r="C138" s="2" t="s">
        <v>2062</v>
      </c>
      <c r="D138" s="7">
        <f>3</f>
        <v>3</v>
      </c>
      <c r="E138" s="7"/>
      <c r="F138" s="17">
        <f>11</f>
        <v>11</v>
      </c>
      <c r="G138" s="17">
        <f>1</f>
        <v>1</v>
      </c>
      <c r="H138" s="17">
        <f>286</f>
        <v>286</v>
      </c>
      <c r="I138" s="16">
        <f>H138/(F138-G138)</f>
        <v>28.6</v>
      </c>
      <c r="J138" s="17" t="s">
        <v>293</v>
      </c>
      <c r="K138" s="25">
        <f>43</f>
        <v>43</v>
      </c>
      <c r="L138" s="25">
        <f>8</f>
        <v>8</v>
      </c>
      <c r="M138" s="25">
        <f>87</f>
        <v>87</v>
      </c>
      <c r="N138" s="24">
        <f>M138/L138</f>
        <v>10.875</v>
      </c>
      <c r="O138" s="49" t="s">
        <v>1353</v>
      </c>
    </row>
    <row r="139" spans="1:15" s="54" customFormat="1" x14ac:dyDescent="0.2">
      <c r="A139" s="4">
        <v>1908073</v>
      </c>
      <c r="B139" s="35" t="s">
        <v>2063</v>
      </c>
      <c r="C139" s="2" t="s">
        <v>2064</v>
      </c>
      <c r="D139" s="7">
        <f>0</f>
        <v>0</v>
      </c>
      <c r="E139" s="7"/>
      <c r="F139" s="17">
        <f>3</f>
        <v>3</v>
      </c>
      <c r="G139" s="17">
        <f>0</f>
        <v>0</v>
      </c>
      <c r="H139" s="17">
        <f>13</f>
        <v>13</v>
      </c>
      <c r="I139" s="16">
        <f>H139/(F139-G139)</f>
        <v>4.333333333333333</v>
      </c>
      <c r="J139" s="17">
        <v>7</v>
      </c>
      <c r="K139" s="25">
        <f>11</f>
        <v>11</v>
      </c>
      <c r="L139" s="25">
        <f>1</f>
        <v>1</v>
      </c>
      <c r="M139" s="25">
        <f>68</f>
        <v>68</v>
      </c>
      <c r="N139" s="24">
        <f>M139/L139</f>
        <v>68</v>
      </c>
      <c r="O139" s="56" t="s">
        <v>2260</v>
      </c>
    </row>
    <row r="140" spans="1:15" s="5" customFormat="1" x14ac:dyDescent="0.2">
      <c r="A140" s="4">
        <v>1482592</v>
      </c>
      <c r="B140" s="35" t="s">
        <v>1836</v>
      </c>
      <c r="C140" s="2" t="s">
        <v>1837</v>
      </c>
      <c r="D140" s="7">
        <f>0</f>
        <v>0</v>
      </c>
      <c r="E140" s="7">
        <f>0</f>
        <v>0</v>
      </c>
      <c r="F140" s="17">
        <f>4</f>
        <v>4</v>
      </c>
      <c r="G140" s="17">
        <f>0</f>
        <v>0</v>
      </c>
      <c r="H140" s="17">
        <f>20</f>
        <v>20</v>
      </c>
      <c r="I140" s="16">
        <f>H140/(F140-G140)</f>
        <v>5</v>
      </c>
      <c r="J140" s="17">
        <v>14</v>
      </c>
      <c r="K140" s="25"/>
      <c r="L140" s="25"/>
      <c r="M140" s="25"/>
      <c r="N140" s="24" t="e">
        <f>M140/L140</f>
        <v>#DIV/0!</v>
      </c>
      <c r="O140" s="23"/>
    </row>
    <row r="141" spans="1:15" s="5" customFormat="1" x14ac:dyDescent="0.2">
      <c r="A141" s="4">
        <v>1483453</v>
      </c>
      <c r="B141" s="55" t="s">
        <v>1525</v>
      </c>
      <c r="C141" s="2" t="s">
        <v>1517</v>
      </c>
      <c r="D141" s="7">
        <f>0</f>
        <v>0</v>
      </c>
      <c r="E141" s="7">
        <f>0</f>
        <v>0</v>
      </c>
      <c r="F141" s="17">
        <f>1</f>
        <v>1</v>
      </c>
      <c r="G141" s="17">
        <f>0</f>
        <v>0</v>
      </c>
      <c r="H141" s="17">
        <f>4</f>
        <v>4</v>
      </c>
      <c r="I141" s="16">
        <f>H141/(F141-G141)</f>
        <v>4</v>
      </c>
      <c r="J141" s="17">
        <v>4</v>
      </c>
      <c r="K141" s="25"/>
      <c r="L141" s="25"/>
      <c r="M141" s="25"/>
      <c r="N141" s="24" t="e">
        <f>M141/L141</f>
        <v>#DIV/0!</v>
      </c>
      <c r="O141" s="23"/>
    </row>
    <row r="142" spans="1:15" s="5" customFormat="1" x14ac:dyDescent="0.2">
      <c r="A142" s="4">
        <v>2097164</v>
      </c>
      <c r="B142" s="35" t="s">
        <v>2310</v>
      </c>
      <c r="C142" s="2" t="s">
        <v>2254</v>
      </c>
      <c r="D142" s="7">
        <f>1+3</f>
        <v>4</v>
      </c>
      <c r="E142" s="7">
        <f>0+0</f>
        <v>0</v>
      </c>
      <c r="F142" s="17">
        <f>10+9</f>
        <v>19</v>
      </c>
      <c r="G142" s="17">
        <f>1+1</f>
        <v>2</v>
      </c>
      <c r="H142" s="17">
        <f>20+58</f>
        <v>78</v>
      </c>
      <c r="I142" s="16">
        <f>H142/(F142-G142)</f>
        <v>4.5882352941176467</v>
      </c>
      <c r="J142" s="17">
        <v>18</v>
      </c>
      <c r="K142" s="25">
        <f>53+29</f>
        <v>82</v>
      </c>
      <c r="L142" s="25">
        <f>14+6</f>
        <v>20</v>
      </c>
      <c r="M142" s="25">
        <f>160+78</f>
        <v>238</v>
      </c>
      <c r="N142" s="24">
        <f>M142/L142</f>
        <v>11.9</v>
      </c>
      <c r="O142" s="49" t="s">
        <v>2037</v>
      </c>
    </row>
    <row r="143" spans="1:15" x14ac:dyDescent="0.2">
      <c r="A143" s="4"/>
      <c r="B143" s="34" t="s">
        <v>512</v>
      </c>
      <c r="C143" s="2" t="s">
        <v>205</v>
      </c>
      <c r="D143" s="7">
        <v>1</v>
      </c>
      <c r="E143" s="7"/>
      <c r="F143" s="17">
        <v>13</v>
      </c>
      <c r="G143" s="17">
        <v>1</v>
      </c>
      <c r="H143" s="17">
        <v>82</v>
      </c>
      <c r="I143" s="16">
        <f>H143/(F143-G143)</f>
        <v>6.833333333333333</v>
      </c>
      <c r="J143" s="17">
        <v>30</v>
      </c>
      <c r="K143" s="25">
        <v>14</v>
      </c>
      <c r="L143" s="25">
        <v>3</v>
      </c>
      <c r="M143" s="25">
        <v>56</v>
      </c>
      <c r="N143" s="24">
        <f>M143/L143</f>
        <v>18.666666666666668</v>
      </c>
      <c r="O143" s="23"/>
    </row>
    <row r="144" spans="1:15" x14ac:dyDescent="0.2">
      <c r="A144" s="4">
        <v>1298500</v>
      </c>
      <c r="B144" s="35" t="s">
        <v>2065</v>
      </c>
      <c r="C144" s="2" t="s">
        <v>74</v>
      </c>
      <c r="D144" s="7">
        <f>0+1+0</f>
        <v>1</v>
      </c>
      <c r="E144" s="7">
        <f>0+0</f>
        <v>0</v>
      </c>
      <c r="F144" s="17">
        <f>11+11+9</f>
        <v>31</v>
      </c>
      <c r="G144" s="17">
        <f>0+0+0</f>
        <v>0</v>
      </c>
      <c r="H144" s="17">
        <f>115+207+99</f>
        <v>421</v>
      </c>
      <c r="I144" s="16">
        <f>H144/(F144-G144)</f>
        <v>13.580645161290322</v>
      </c>
      <c r="J144" s="17">
        <v>70</v>
      </c>
      <c r="K144" s="25">
        <f>5+1</f>
        <v>6</v>
      </c>
      <c r="L144" s="25">
        <f>1+0</f>
        <v>1</v>
      </c>
      <c r="M144" s="25">
        <v>7</v>
      </c>
      <c r="N144" s="24">
        <f>M144/L144</f>
        <v>7</v>
      </c>
      <c r="O144" s="49" t="s">
        <v>1475</v>
      </c>
    </row>
    <row r="145" spans="1:15" x14ac:dyDescent="0.2">
      <c r="A145" s="84">
        <v>1608102</v>
      </c>
      <c r="B145" s="35" t="s">
        <v>1670</v>
      </c>
      <c r="C145" s="2" t="s">
        <v>1671</v>
      </c>
      <c r="D145" s="7">
        <f>0+0</f>
        <v>0</v>
      </c>
      <c r="E145" s="7">
        <f>0</f>
        <v>0</v>
      </c>
      <c r="F145" s="17">
        <f>3</f>
        <v>3</v>
      </c>
      <c r="G145" s="17">
        <f>2</f>
        <v>2</v>
      </c>
      <c r="H145" s="17">
        <f>58</f>
        <v>58</v>
      </c>
      <c r="I145" s="16">
        <f>H145/(F145-G145)</f>
        <v>58</v>
      </c>
      <c r="J145" s="17">
        <v>56</v>
      </c>
      <c r="K145" s="25">
        <f>2</f>
        <v>2</v>
      </c>
      <c r="L145" s="25">
        <f>1</f>
        <v>1</v>
      </c>
      <c r="M145" s="25">
        <f>12</f>
        <v>12</v>
      </c>
      <c r="N145" s="24">
        <f>M145/L145</f>
        <v>12</v>
      </c>
      <c r="O145" s="49" t="s">
        <v>1647</v>
      </c>
    </row>
    <row r="146" spans="1:15" x14ac:dyDescent="0.2">
      <c r="A146" s="4">
        <v>1913475</v>
      </c>
      <c r="B146" s="35" t="s">
        <v>2066</v>
      </c>
      <c r="C146" s="2" t="s">
        <v>2067</v>
      </c>
      <c r="D146" s="7">
        <f>3</f>
        <v>3</v>
      </c>
      <c r="E146" s="7"/>
      <c r="F146" s="17">
        <f>15</f>
        <v>15</v>
      </c>
      <c r="G146" s="17">
        <f>7</f>
        <v>7</v>
      </c>
      <c r="H146" s="17">
        <f>91</f>
        <v>91</v>
      </c>
      <c r="I146" s="16">
        <f>H146/(F146-G146)</f>
        <v>11.375</v>
      </c>
      <c r="J146" s="17">
        <v>16</v>
      </c>
      <c r="K146" s="25">
        <f>31</f>
        <v>31</v>
      </c>
      <c r="L146" s="25">
        <f>6</f>
        <v>6</v>
      </c>
      <c r="M146" s="25">
        <f>149</f>
        <v>149</v>
      </c>
      <c r="N146" s="24">
        <f>M146/L146</f>
        <v>24.833333333333332</v>
      </c>
      <c r="O146" s="49" t="s">
        <v>2035</v>
      </c>
    </row>
    <row r="147" spans="1:15" s="54" customFormat="1" x14ac:dyDescent="0.2">
      <c r="A147" s="4"/>
      <c r="B147" s="35" t="s">
        <v>513</v>
      </c>
      <c r="C147" s="2" t="s">
        <v>52</v>
      </c>
      <c r="D147" s="7">
        <f>1+1+3+5+0+6</f>
        <v>16</v>
      </c>
      <c r="E147" s="7"/>
      <c r="F147" s="17">
        <f>11+13+2+10+2+10</f>
        <v>48</v>
      </c>
      <c r="G147" s="17">
        <f>1+2+1+1+2</f>
        <v>7</v>
      </c>
      <c r="H147" s="17">
        <f>46+77+5+94+93+3+68</f>
        <v>386</v>
      </c>
      <c r="I147" s="16">
        <f>H147/(F147-G147)</f>
        <v>9.4146341463414629</v>
      </c>
      <c r="J147" s="17">
        <v>39</v>
      </c>
      <c r="K147" s="25">
        <f>24+36+13+39+46+4+34</f>
        <v>196</v>
      </c>
      <c r="L147" s="25">
        <f>3+3+2+9+4+2+9</f>
        <v>32</v>
      </c>
      <c r="M147" s="25">
        <f>126+134+45+88+203+8+156</f>
        <v>760</v>
      </c>
      <c r="N147" s="24">
        <f>M147/L147</f>
        <v>23.75</v>
      </c>
      <c r="O147" s="23"/>
    </row>
    <row r="148" spans="1:15" x14ac:dyDescent="0.2">
      <c r="A148" s="4"/>
      <c r="B148" s="34" t="s">
        <v>514</v>
      </c>
      <c r="C148" s="2" t="s">
        <v>265</v>
      </c>
      <c r="D148" s="7">
        <v>2</v>
      </c>
      <c r="E148" s="7"/>
      <c r="F148" s="17">
        <v>10</v>
      </c>
      <c r="G148" s="17">
        <v>0</v>
      </c>
      <c r="H148" s="17">
        <v>3</v>
      </c>
      <c r="I148" s="16">
        <f>H148/(F148-G148)</f>
        <v>0.3</v>
      </c>
      <c r="J148" s="17">
        <v>2</v>
      </c>
      <c r="K148" s="25">
        <v>47</v>
      </c>
      <c r="L148" s="25">
        <v>6</v>
      </c>
      <c r="M148" s="25">
        <v>172</v>
      </c>
      <c r="N148" s="24">
        <f>M148/L148</f>
        <v>28.666666666666668</v>
      </c>
      <c r="O148" s="23"/>
    </row>
    <row r="149" spans="1:15" s="54" customFormat="1" x14ac:dyDescent="0.2">
      <c r="A149" s="4">
        <v>2230515</v>
      </c>
      <c r="B149" s="34" t="s">
        <v>2561</v>
      </c>
      <c r="C149" s="2" t="s">
        <v>2562</v>
      </c>
      <c r="D149" s="7">
        <v>2</v>
      </c>
      <c r="E149" s="7">
        <v>0</v>
      </c>
      <c r="F149" s="17">
        <v>7</v>
      </c>
      <c r="G149" s="17">
        <v>0</v>
      </c>
      <c r="H149" s="17">
        <v>86</v>
      </c>
      <c r="I149" s="16">
        <f>H149/(F149-G149)</f>
        <v>12.285714285714286</v>
      </c>
      <c r="J149" s="17">
        <v>29</v>
      </c>
      <c r="K149" s="25">
        <v>54</v>
      </c>
      <c r="L149" s="25">
        <v>9</v>
      </c>
      <c r="M149" s="25">
        <v>192</v>
      </c>
      <c r="N149" s="24">
        <f>M149/L149</f>
        <v>21.333333333333332</v>
      </c>
      <c r="O149" s="49" t="s">
        <v>2500</v>
      </c>
    </row>
    <row r="150" spans="1:15" s="54" customFormat="1" x14ac:dyDescent="0.2">
      <c r="A150" s="4">
        <v>176063</v>
      </c>
      <c r="B150" s="35" t="s">
        <v>1313</v>
      </c>
      <c r="C150" s="2" t="s">
        <v>314</v>
      </c>
      <c r="D150" s="7">
        <f>0+2+0</f>
        <v>2</v>
      </c>
      <c r="E150" s="7">
        <f>0+0+0</f>
        <v>0</v>
      </c>
      <c r="F150" s="17">
        <f>1+1</f>
        <v>2</v>
      </c>
      <c r="G150" s="17">
        <f>0</f>
        <v>0</v>
      </c>
      <c r="H150" s="17">
        <f>9+3</f>
        <v>12</v>
      </c>
      <c r="I150" s="16">
        <f>H150/(F150-G150)</f>
        <v>6</v>
      </c>
      <c r="J150" s="17">
        <v>9</v>
      </c>
      <c r="K150" s="25">
        <f>3</f>
        <v>3</v>
      </c>
      <c r="L150" s="25">
        <f>0</f>
        <v>0</v>
      </c>
      <c r="M150" s="25">
        <f>6</f>
        <v>6</v>
      </c>
      <c r="N150" s="24" t="e">
        <f>M150/L150</f>
        <v>#DIV/0!</v>
      </c>
      <c r="O150" s="49" t="s">
        <v>1499</v>
      </c>
    </row>
    <row r="151" spans="1:15" s="54" customFormat="1" x14ac:dyDescent="0.2">
      <c r="A151" s="4"/>
      <c r="B151" s="35" t="s">
        <v>515</v>
      </c>
      <c r="C151" s="2" t="s">
        <v>98</v>
      </c>
      <c r="D151" s="7"/>
      <c r="E151" s="7"/>
      <c r="F151" s="17">
        <v>8</v>
      </c>
      <c r="G151" s="17">
        <v>0</v>
      </c>
      <c r="H151" s="17">
        <v>65</v>
      </c>
      <c r="I151" s="16">
        <f>H151/(F151-G151)</f>
        <v>8.125</v>
      </c>
      <c r="J151" s="17">
        <v>26</v>
      </c>
      <c r="K151" s="25">
        <v>10</v>
      </c>
      <c r="L151" s="25">
        <v>2</v>
      </c>
      <c r="M151" s="25">
        <v>50</v>
      </c>
      <c r="N151" s="24">
        <f>M151/L151</f>
        <v>25</v>
      </c>
      <c r="O151" s="23"/>
    </row>
    <row r="152" spans="1:15" s="54" customFormat="1" x14ac:dyDescent="0.2">
      <c r="A152" s="4"/>
      <c r="B152" s="35" t="s">
        <v>516</v>
      </c>
      <c r="C152" s="2" t="s">
        <v>92</v>
      </c>
      <c r="D152" s="7">
        <f>4+3+3</f>
        <v>10</v>
      </c>
      <c r="E152" s="7"/>
      <c r="F152" s="17">
        <f>12+12+1+15</f>
        <v>40</v>
      </c>
      <c r="G152" s="17">
        <f>1+0</f>
        <v>1</v>
      </c>
      <c r="H152" s="17">
        <f>100+220+3+194</f>
        <v>517</v>
      </c>
      <c r="I152" s="16">
        <f>H152/(F152-G152)</f>
        <v>13.256410256410257</v>
      </c>
      <c r="J152" s="17" t="s">
        <v>396</v>
      </c>
      <c r="K152" s="25">
        <f>49+34+5+12</f>
        <v>100</v>
      </c>
      <c r="L152" s="25">
        <f>9+6+1+4</f>
        <v>20</v>
      </c>
      <c r="M152" s="25">
        <f>216+117+15+53</f>
        <v>401</v>
      </c>
      <c r="N152" s="24">
        <f>M152/L152</f>
        <v>20.05</v>
      </c>
      <c r="O152" s="23"/>
    </row>
    <row r="153" spans="1:15" x14ac:dyDescent="0.2">
      <c r="A153" s="4"/>
      <c r="B153" s="35" t="s">
        <v>517</v>
      </c>
      <c r="C153" s="2" t="s">
        <v>97</v>
      </c>
      <c r="D153" s="7">
        <v>1</v>
      </c>
      <c r="E153" s="7"/>
      <c r="F153" s="17">
        <v>35</v>
      </c>
      <c r="G153" s="17">
        <v>8</v>
      </c>
      <c r="H153" s="17">
        <v>90</v>
      </c>
      <c r="I153" s="16">
        <f>H153/(F153-G153)</f>
        <v>3.3333333333333335</v>
      </c>
      <c r="J153" s="17">
        <v>10</v>
      </c>
      <c r="K153" s="25">
        <v>30</v>
      </c>
      <c r="L153" s="25">
        <v>4</v>
      </c>
      <c r="M153" s="25">
        <v>97</v>
      </c>
      <c r="N153" s="24">
        <f>M153/L153</f>
        <v>24.25</v>
      </c>
      <c r="O153" s="23"/>
    </row>
    <row r="154" spans="1:15" s="5" customFormat="1" x14ac:dyDescent="0.2">
      <c r="A154" s="4"/>
      <c r="B154" s="35" t="s">
        <v>518</v>
      </c>
      <c r="C154" s="2" t="s">
        <v>9</v>
      </c>
      <c r="D154" s="7">
        <v>5</v>
      </c>
      <c r="E154" s="7"/>
      <c r="F154" s="17">
        <v>42</v>
      </c>
      <c r="G154" s="17">
        <v>6</v>
      </c>
      <c r="H154" s="17">
        <v>141</v>
      </c>
      <c r="I154" s="16">
        <f>H154/(F154-G154)</f>
        <v>3.9166666666666665</v>
      </c>
      <c r="J154" s="17" t="s">
        <v>397</v>
      </c>
      <c r="K154" s="25">
        <v>40</v>
      </c>
      <c r="L154" s="25">
        <v>5</v>
      </c>
      <c r="M154" s="25">
        <v>146</v>
      </c>
      <c r="N154" s="24">
        <f>M154/L154</f>
        <v>29.2</v>
      </c>
      <c r="O154" s="23"/>
    </row>
    <row r="155" spans="1:15" s="5" customFormat="1" x14ac:dyDescent="0.2">
      <c r="A155" s="4"/>
      <c r="B155" s="35" t="s">
        <v>519</v>
      </c>
      <c r="C155" s="2" t="s">
        <v>16</v>
      </c>
      <c r="D155" s="7">
        <v>3</v>
      </c>
      <c r="E155" s="7"/>
      <c r="F155" s="17">
        <v>42</v>
      </c>
      <c r="G155" s="17">
        <v>9</v>
      </c>
      <c r="H155" s="17">
        <v>44</v>
      </c>
      <c r="I155" s="16">
        <f>H155/(F155-G155)</f>
        <v>1.3333333333333333</v>
      </c>
      <c r="J155" s="17">
        <v>11</v>
      </c>
      <c r="K155" s="25">
        <v>26</v>
      </c>
      <c r="L155" s="25">
        <v>1</v>
      </c>
      <c r="M155" s="25">
        <v>149</v>
      </c>
      <c r="N155" s="24">
        <f>M155/L155</f>
        <v>149</v>
      </c>
      <c r="O155" s="23"/>
    </row>
    <row r="156" spans="1:15" x14ac:dyDescent="0.2">
      <c r="A156" s="4"/>
      <c r="B156" s="35" t="s">
        <v>520</v>
      </c>
      <c r="C156" s="2" t="s">
        <v>36</v>
      </c>
      <c r="D156" s="7">
        <f>3+2+4+0+7</f>
        <v>16</v>
      </c>
      <c r="E156" s="7"/>
      <c r="F156" s="17">
        <f>9+11+19+12</f>
        <v>51</v>
      </c>
      <c r="G156" s="17">
        <f>3+3+3+1</f>
        <v>10</v>
      </c>
      <c r="H156" s="17">
        <f>37+132+90+98</f>
        <v>357</v>
      </c>
      <c r="I156" s="16">
        <f>H156/(F156-G156)</f>
        <v>8.7073170731707314</v>
      </c>
      <c r="J156" s="17">
        <v>45</v>
      </c>
      <c r="K156" s="25">
        <f>55+13+63+73+81</f>
        <v>285</v>
      </c>
      <c r="L156" s="25">
        <f>13+5+23+8+16</f>
        <v>65</v>
      </c>
      <c r="M156" s="25">
        <f>106+21+144+252+270</f>
        <v>793</v>
      </c>
      <c r="N156" s="24">
        <f>M156/L156</f>
        <v>12.2</v>
      </c>
      <c r="O156" s="23"/>
    </row>
    <row r="157" spans="1:15" x14ac:dyDescent="0.2">
      <c r="A157" s="4">
        <v>756383</v>
      </c>
      <c r="B157" s="35" t="s">
        <v>1337</v>
      </c>
      <c r="C157" s="2"/>
      <c r="D157" s="7">
        <f>0</f>
        <v>0</v>
      </c>
      <c r="E157" s="7">
        <f>0</f>
        <v>0</v>
      </c>
      <c r="F157" s="17">
        <f>8</f>
        <v>8</v>
      </c>
      <c r="G157" s="17">
        <f>2</f>
        <v>2</v>
      </c>
      <c r="H157" s="17">
        <f>27</f>
        <v>27</v>
      </c>
      <c r="I157" s="16">
        <f>H157/(F157-G157)</f>
        <v>4.5</v>
      </c>
      <c r="J157" s="17">
        <v>16</v>
      </c>
      <c r="K157" s="25">
        <f>81</f>
        <v>81</v>
      </c>
      <c r="L157" s="25">
        <f>14</f>
        <v>14</v>
      </c>
      <c r="M157" s="25">
        <f>486</f>
        <v>486</v>
      </c>
      <c r="N157" s="24">
        <f>M157/L157</f>
        <v>34.714285714285715</v>
      </c>
      <c r="O157" s="49" t="s">
        <v>1356</v>
      </c>
    </row>
    <row r="158" spans="1:15" s="5" customFormat="1" x14ac:dyDescent="0.2">
      <c r="A158" s="4">
        <v>2266077</v>
      </c>
      <c r="B158" s="35" t="s">
        <v>2501</v>
      </c>
      <c r="C158" s="2" t="s">
        <v>2502</v>
      </c>
      <c r="D158" s="7">
        <v>0</v>
      </c>
      <c r="E158" s="7">
        <v>0</v>
      </c>
      <c r="F158" s="17">
        <v>10</v>
      </c>
      <c r="G158" s="17">
        <v>0</v>
      </c>
      <c r="H158" s="17">
        <v>93</v>
      </c>
      <c r="I158" s="16">
        <f>H158/(F158-G158)</f>
        <v>9.3000000000000007</v>
      </c>
      <c r="J158" s="17">
        <v>45</v>
      </c>
      <c r="K158" s="25">
        <v>8</v>
      </c>
      <c r="L158" s="25">
        <v>1</v>
      </c>
      <c r="M158" s="25">
        <v>50</v>
      </c>
      <c r="N158" s="24">
        <f>M158/L158</f>
        <v>50</v>
      </c>
      <c r="O158" s="49" t="s">
        <v>1503</v>
      </c>
    </row>
    <row r="159" spans="1:15" s="54" customFormat="1" x14ac:dyDescent="0.2">
      <c r="A159" s="57"/>
      <c r="B159" s="65" t="s">
        <v>2707</v>
      </c>
      <c r="C159" s="58" t="s">
        <v>2708</v>
      </c>
      <c r="D159" s="59">
        <v>1</v>
      </c>
      <c r="E159" s="59"/>
      <c r="F159" s="60">
        <v>4</v>
      </c>
      <c r="G159" s="60">
        <v>3</v>
      </c>
      <c r="H159" s="60">
        <v>18</v>
      </c>
      <c r="I159" s="61">
        <f>H159/(F159-G159)</f>
        <v>18</v>
      </c>
      <c r="J159" s="60" t="s">
        <v>414</v>
      </c>
      <c r="K159" s="62">
        <v>9</v>
      </c>
      <c r="L159" s="62">
        <v>3</v>
      </c>
      <c r="M159" s="62">
        <v>40</v>
      </c>
      <c r="N159" s="63">
        <f>M159/L159</f>
        <v>13.333333333333334</v>
      </c>
      <c r="O159" s="66" t="s">
        <v>1809</v>
      </c>
    </row>
    <row r="160" spans="1:15" s="5" customFormat="1" x14ac:dyDescent="0.2">
      <c r="A160" s="57"/>
      <c r="B160" s="65" t="s">
        <v>2745</v>
      </c>
      <c r="C160" s="58" t="s">
        <v>2746</v>
      </c>
      <c r="D160" s="59">
        <v>2</v>
      </c>
      <c r="E160" s="59"/>
      <c r="F160" s="60">
        <v>9</v>
      </c>
      <c r="G160" s="60">
        <v>2</v>
      </c>
      <c r="H160" s="60">
        <v>58</v>
      </c>
      <c r="I160" s="61">
        <f>H160/(F160-G160)</f>
        <v>8.2857142857142865</v>
      </c>
      <c r="J160" s="60">
        <v>22</v>
      </c>
      <c r="K160" s="62">
        <v>4</v>
      </c>
      <c r="L160" s="62">
        <v>1</v>
      </c>
      <c r="M160" s="62">
        <v>34</v>
      </c>
      <c r="N160" s="63">
        <f>M160/L160</f>
        <v>34</v>
      </c>
      <c r="O160" s="66" t="s">
        <v>1633</v>
      </c>
    </row>
    <row r="161" spans="1:15" s="5" customFormat="1" x14ac:dyDescent="0.2">
      <c r="A161" s="4">
        <v>2148558</v>
      </c>
      <c r="B161" s="35" t="s">
        <v>2496</v>
      </c>
      <c r="C161" s="2" t="s">
        <v>2497</v>
      </c>
      <c r="D161" s="7">
        <v>3</v>
      </c>
      <c r="E161" s="7">
        <v>0</v>
      </c>
      <c r="F161" s="17">
        <v>10</v>
      </c>
      <c r="G161" s="17">
        <v>1</v>
      </c>
      <c r="H161" s="17">
        <v>131</v>
      </c>
      <c r="I161" s="16">
        <f>H161/(F161-G161)</f>
        <v>14.555555555555555</v>
      </c>
      <c r="J161" s="17">
        <v>46</v>
      </c>
      <c r="K161" s="25">
        <v>20</v>
      </c>
      <c r="L161" s="25">
        <v>5</v>
      </c>
      <c r="M161" s="25">
        <v>87</v>
      </c>
      <c r="N161" s="24">
        <f>M161/L161</f>
        <v>17.399999999999999</v>
      </c>
      <c r="O161" s="49" t="s">
        <v>1372</v>
      </c>
    </row>
    <row r="162" spans="1:15" s="54" customFormat="1" x14ac:dyDescent="0.2">
      <c r="A162" s="4"/>
      <c r="B162" s="35" t="s">
        <v>521</v>
      </c>
      <c r="C162" s="2" t="s">
        <v>91</v>
      </c>
      <c r="D162" s="7">
        <v>5</v>
      </c>
      <c r="E162" s="7"/>
      <c r="F162" s="17">
        <f>9+3+2</f>
        <v>14</v>
      </c>
      <c r="G162" s="17">
        <v>1</v>
      </c>
      <c r="H162" s="17">
        <f>83+13</f>
        <v>96</v>
      </c>
      <c r="I162" s="16">
        <f>H162/(F162-G162)</f>
        <v>7.384615384615385</v>
      </c>
      <c r="J162" s="17">
        <v>21</v>
      </c>
      <c r="K162" s="25">
        <f>12+1</f>
        <v>13</v>
      </c>
      <c r="L162" s="25">
        <f>3+1</f>
        <v>4</v>
      </c>
      <c r="M162" s="25">
        <f>76+1</f>
        <v>77</v>
      </c>
      <c r="N162" s="24">
        <f>M162/L162</f>
        <v>19.25</v>
      </c>
      <c r="O162" s="23"/>
    </row>
    <row r="163" spans="1:15" s="6" customFormat="1" x14ac:dyDescent="0.2">
      <c r="A163" s="4">
        <v>1244094</v>
      </c>
      <c r="B163" s="2" t="s">
        <v>2311</v>
      </c>
      <c r="C163" s="2" t="s">
        <v>2312</v>
      </c>
      <c r="D163" s="7">
        <f>27+4</f>
        <v>31</v>
      </c>
      <c r="E163" s="7">
        <f>3+4</f>
        <v>7</v>
      </c>
      <c r="F163" s="17">
        <f>24+15</f>
        <v>39</v>
      </c>
      <c r="G163" s="17">
        <f>2+3</f>
        <v>5</v>
      </c>
      <c r="H163" s="17">
        <f>517+416</f>
        <v>933</v>
      </c>
      <c r="I163" s="16">
        <f>H163/(F163-G163)</f>
        <v>27.441176470588236</v>
      </c>
      <c r="J163" s="17" t="s">
        <v>421</v>
      </c>
      <c r="K163" s="25">
        <f>15.2+8.2</f>
        <v>23.4</v>
      </c>
      <c r="L163" s="25">
        <f>4+2</f>
        <v>6</v>
      </c>
      <c r="M163" s="25">
        <f>48+38</f>
        <v>86</v>
      </c>
      <c r="N163" s="24">
        <f>M163/L163</f>
        <v>14.333333333333334</v>
      </c>
      <c r="O163" s="49" t="s">
        <v>1367</v>
      </c>
    </row>
    <row r="164" spans="1:15" x14ac:dyDescent="0.2">
      <c r="A164" s="4">
        <v>1751592</v>
      </c>
      <c r="B164" s="35" t="s">
        <v>1838</v>
      </c>
      <c r="C164" s="2" t="s">
        <v>1839</v>
      </c>
      <c r="D164" s="7">
        <f>0+0+0+0</f>
        <v>0</v>
      </c>
      <c r="E164" s="7">
        <f>0+0</f>
        <v>0</v>
      </c>
      <c r="F164" s="17">
        <f>2+5+1+9</f>
        <v>17</v>
      </c>
      <c r="G164" s="17">
        <f>0+5+0+6</f>
        <v>11</v>
      </c>
      <c r="H164" s="17">
        <f>0+4+3+48</f>
        <v>55</v>
      </c>
      <c r="I164" s="16">
        <f>H164/(F164-G164)</f>
        <v>9.1666666666666661</v>
      </c>
      <c r="J164" s="17" t="s">
        <v>442</v>
      </c>
      <c r="K164" s="25">
        <f>6+11+6+26</f>
        <v>49</v>
      </c>
      <c r="L164" s="25">
        <f>1+3+1+11</f>
        <v>16</v>
      </c>
      <c r="M164" s="25">
        <f>24+23+18+101</f>
        <v>166</v>
      </c>
      <c r="N164" s="24">
        <f>M164/L164</f>
        <v>10.375</v>
      </c>
      <c r="O164" s="49" t="s">
        <v>2516</v>
      </c>
    </row>
    <row r="165" spans="1:15" x14ac:dyDescent="0.2">
      <c r="A165" s="4"/>
      <c r="B165" s="35" t="s">
        <v>522</v>
      </c>
      <c r="C165" s="2" t="s">
        <v>131</v>
      </c>
      <c r="D165" s="7">
        <f>1+3</f>
        <v>4</v>
      </c>
      <c r="E165" s="7"/>
      <c r="F165" s="17">
        <f>13+4+8+1+6</f>
        <v>32</v>
      </c>
      <c r="G165" s="17">
        <f>2+2+1</f>
        <v>5</v>
      </c>
      <c r="H165" s="17">
        <f>31+11+58+1+18</f>
        <v>119</v>
      </c>
      <c r="I165" s="16">
        <f>H165/(F165-G165)</f>
        <v>4.4074074074074074</v>
      </c>
      <c r="J165" s="17">
        <v>34</v>
      </c>
      <c r="K165" s="25">
        <f>7+3</f>
        <v>10</v>
      </c>
      <c r="L165" s="25">
        <f>3+1</f>
        <v>4</v>
      </c>
      <c r="M165" s="25">
        <f>30+21</f>
        <v>51</v>
      </c>
      <c r="N165" s="24">
        <f>M165/L165</f>
        <v>12.75</v>
      </c>
      <c r="O165" s="23"/>
    </row>
    <row r="166" spans="1:15" s="54" customFormat="1" x14ac:dyDescent="0.2">
      <c r="A166" s="4"/>
      <c r="B166" s="35" t="s">
        <v>523</v>
      </c>
      <c r="C166" s="2" t="s">
        <v>19</v>
      </c>
      <c r="D166" s="7">
        <f>10+11+4+7</f>
        <v>32</v>
      </c>
      <c r="E166" s="7"/>
      <c r="F166" s="17">
        <f>26+10+7+11</f>
        <v>54</v>
      </c>
      <c r="G166" s="17">
        <f>6+1</f>
        <v>7</v>
      </c>
      <c r="H166" s="17">
        <f>281+351+189+438</f>
        <v>1259</v>
      </c>
      <c r="I166" s="16">
        <f>H166/(F166-G166)</f>
        <v>26.787234042553191</v>
      </c>
      <c r="J166" s="17">
        <v>156</v>
      </c>
      <c r="K166" s="25">
        <f>61+1+3</f>
        <v>65</v>
      </c>
      <c r="L166" s="25">
        <f>7+1</f>
        <v>8</v>
      </c>
      <c r="M166" s="25">
        <f>145+9+7</f>
        <v>161</v>
      </c>
      <c r="N166" s="24">
        <f>M166/L166</f>
        <v>20.125</v>
      </c>
      <c r="O166" s="23"/>
    </row>
    <row r="167" spans="1:15" s="54" customFormat="1" x14ac:dyDescent="0.2">
      <c r="A167" s="4"/>
      <c r="B167" s="35" t="s">
        <v>524</v>
      </c>
      <c r="C167" s="2" t="s">
        <v>72</v>
      </c>
      <c r="D167" s="7">
        <f>3+3</f>
        <v>6</v>
      </c>
      <c r="E167" s="7"/>
      <c r="F167" s="17">
        <f>16+3</f>
        <v>19</v>
      </c>
      <c r="G167" s="17">
        <f>2+0</f>
        <v>2</v>
      </c>
      <c r="H167" s="17">
        <f>364+29</f>
        <v>393</v>
      </c>
      <c r="I167" s="16">
        <f>H167/(F167-G167)</f>
        <v>23.117647058823529</v>
      </c>
      <c r="J167" s="17">
        <v>96</v>
      </c>
      <c r="K167" s="25">
        <f>78.3+33</f>
        <v>111.3</v>
      </c>
      <c r="L167" s="25">
        <f>18+8</f>
        <v>26</v>
      </c>
      <c r="M167" s="25">
        <f>273+114</f>
        <v>387</v>
      </c>
      <c r="N167" s="24">
        <f>M167/L167</f>
        <v>14.884615384615385</v>
      </c>
      <c r="O167" s="23"/>
    </row>
    <row r="168" spans="1:15" x14ac:dyDescent="0.2">
      <c r="A168" s="4"/>
      <c r="B168" s="35" t="s">
        <v>525</v>
      </c>
      <c r="C168" s="2" t="s">
        <v>121</v>
      </c>
      <c r="D168" s="7">
        <f>0</f>
        <v>0</v>
      </c>
      <c r="E168" s="7"/>
      <c r="F168" s="17">
        <f>14</f>
        <v>14</v>
      </c>
      <c r="G168" s="17">
        <f>3</f>
        <v>3</v>
      </c>
      <c r="H168" s="17">
        <f>76</f>
        <v>76</v>
      </c>
      <c r="I168" s="16">
        <f>H168/(F168-G168)</f>
        <v>6.9090909090909092</v>
      </c>
      <c r="J168" s="17" t="s">
        <v>371</v>
      </c>
      <c r="K168" s="25">
        <f>15.2</f>
        <v>15.2</v>
      </c>
      <c r="L168" s="25">
        <f>4</f>
        <v>4</v>
      </c>
      <c r="M168" s="25">
        <f>90</f>
        <v>90</v>
      </c>
      <c r="N168" s="24">
        <f>M168/L168</f>
        <v>22.5</v>
      </c>
      <c r="O168" s="23"/>
    </row>
    <row r="169" spans="1:15" s="54" customFormat="1" x14ac:dyDescent="0.2">
      <c r="A169" s="4"/>
      <c r="B169" s="35" t="s">
        <v>526</v>
      </c>
      <c r="C169" s="2" t="s">
        <v>9</v>
      </c>
      <c r="D169" s="7">
        <v>0</v>
      </c>
      <c r="E169" s="7"/>
      <c r="F169" s="17">
        <v>16</v>
      </c>
      <c r="G169" s="17">
        <v>1</v>
      </c>
      <c r="H169" s="17">
        <v>51</v>
      </c>
      <c r="I169" s="16">
        <f>H169/(F169-G169)</f>
        <v>3.4</v>
      </c>
      <c r="J169" s="17">
        <v>10</v>
      </c>
      <c r="K169" s="25">
        <v>12</v>
      </c>
      <c r="L169" s="25">
        <v>5</v>
      </c>
      <c r="M169" s="25">
        <v>77</v>
      </c>
      <c r="N169" s="24">
        <f>M169/L169</f>
        <v>15.4</v>
      </c>
      <c r="O169" s="23"/>
    </row>
    <row r="170" spans="1:15" s="54" customFormat="1" x14ac:dyDescent="0.2">
      <c r="A170" s="4"/>
      <c r="B170" s="35" t="s">
        <v>527</v>
      </c>
      <c r="C170" s="2" t="s">
        <v>10</v>
      </c>
      <c r="D170" s="7">
        <v>2</v>
      </c>
      <c r="E170" s="7"/>
      <c r="F170" s="17">
        <v>5</v>
      </c>
      <c r="G170" s="17"/>
      <c r="H170" s="17">
        <v>19</v>
      </c>
      <c r="I170" s="16">
        <f>H170/(F170-G170)</f>
        <v>3.8</v>
      </c>
      <c r="J170" s="17">
        <v>9</v>
      </c>
      <c r="K170" s="25">
        <v>61</v>
      </c>
      <c r="L170" s="25">
        <v>10</v>
      </c>
      <c r="M170" s="25">
        <v>135</v>
      </c>
      <c r="N170" s="24">
        <f>M170/L170</f>
        <v>13.5</v>
      </c>
      <c r="O170" s="23"/>
    </row>
    <row r="171" spans="1:15" s="54" customFormat="1" x14ac:dyDescent="0.2">
      <c r="A171" s="4"/>
      <c r="B171" s="35" t="s">
        <v>528</v>
      </c>
      <c r="C171" s="2" t="s">
        <v>15</v>
      </c>
      <c r="D171" s="7">
        <v>15</v>
      </c>
      <c r="E171" s="7"/>
      <c r="F171" s="17">
        <v>19</v>
      </c>
      <c r="G171" s="17">
        <v>5</v>
      </c>
      <c r="H171" s="17">
        <v>366</v>
      </c>
      <c r="I171" s="16">
        <f>H171/(F171-G171)</f>
        <v>26.142857142857142</v>
      </c>
      <c r="J171" s="17" t="s">
        <v>398</v>
      </c>
      <c r="K171" s="25">
        <v>233</v>
      </c>
      <c r="L171" s="25">
        <v>42</v>
      </c>
      <c r="M171" s="25">
        <v>708</v>
      </c>
      <c r="N171" s="24">
        <f>M171/L171</f>
        <v>16.857142857142858</v>
      </c>
      <c r="O171" s="23"/>
    </row>
    <row r="172" spans="1:15" s="54" customFormat="1" x14ac:dyDescent="0.2">
      <c r="A172" s="4">
        <v>1141546</v>
      </c>
      <c r="B172" s="51" t="s">
        <v>1418</v>
      </c>
      <c r="C172" s="2" t="s">
        <v>1427</v>
      </c>
      <c r="D172" s="7">
        <f>4+8+6+6+1+0+0+0</f>
        <v>25</v>
      </c>
      <c r="E172" s="7">
        <f>0</f>
        <v>0</v>
      </c>
      <c r="F172" s="17">
        <f>13+10+2+11+9+9+2+1+1</f>
        <v>58</v>
      </c>
      <c r="G172" s="17">
        <f>2+1+2+1+1+1</f>
        <v>8</v>
      </c>
      <c r="H172" s="17">
        <f>33+86+5+47+87+149+4+3+0</f>
        <v>414</v>
      </c>
      <c r="I172" s="16">
        <f>H172/(F172-G172)</f>
        <v>8.2799999999999994</v>
      </c>
      <c r="J172" s="17" t="s">
        <v>291</v>
      </c>
      <c r="K172" s="25">
        <f>42+10+2+31+6</f>
        <v>91</v>
      </c>
      <c r="L172" s="25">
        <f>4+4+10+2</f>
        <v>20</v>
      </c>
      <c r="M172" s="25">
        <f>117+32+4+75+19</f>
        <v>247</v>
      </c>
      <c r="N172" s="24">
        <f>M172/L172</f>
        <v>12.35</v>
      </c>
      <c r="O172" s="23"/>
    </row>
    <row r="173" spans="1:15" s="54" customFormat="1" x14ac:dyDescent="0.2">
      <c r="A173" s="4"/>
      <c r="B173" s="35" t="s">
        <v>529</v>
      </c>
      <c r="C173" s="2" t="s">
        <v>8</v>
      </c>
      <c r="D173" s="7">
        <v>15</v>
      </c>
      <c r="E173" s="7"/>
      <c r="F173" s="17">
        <v>19</v>
      </c>
      <c r="G173" s="17">
        <v>5</v>
      </c>
      <c r="H173" s="17">
        <v>384</v>
      </c>
      <c r="I173" s="16">
        <f>H173/(F173-G173)</f>
        <v>27.428571428571427</v>
      </c>
      <c r="J173" s="17" t="s">
        <v>398</v>
      </c>
      <c r="K173" s="25">
        <v>233</v>
      </c>
      <c r="L173" s="25">
        <v>42</v>
      </c>
      <c r="M173" s="25">
        <v>708</v>
      </c>
      <c r="N173" s="24">
        <f>M173/L173</f>
        <v>16.857142857142858</v>
      </c>
      <c r="O173" s="23"/>
    </row>
    <row r="174" spans="1:15" x14ac:dyDescent="0.2">
      <c r="A174" s="4"/>
      <c r="B174" s="35" t="s">
        <v>530</v>
      </c>
      <c r="C174" s="2" t="s">
        <v>21</v>
      </c>
      <c r="D174" s="7">
        <v>2</v>
      </c>
      <c r="E174" s="7"/>
      <c r="F174" s="17">
        <v>9</v>
      </c>
      <c r="G174" s="17">
        <v>1</v>
      </c>
      <c r="H174" s="17">
        <v>36</v>
      </c>
      <c r="I174" s="16">
        <f>H174/(F174-G174)</f>
        <v>4.5</v>
      </c>
      <c r="J174" s="17">
        <v>14</v>
      </c>
      <c r="K174" s="25">
        <v>39</v>
      </c>
      <c r="L174" s="25">
        <v>7</v>
      </c>
      <c r="M174" s="25">
        <v>187</v>
      </c>
      <c r="N174" s="24">
        <f>M174/L174</f>
        <v>26.714285714285715</v>
      </c>
      <c r="O174" s="23"/>
    </row>
    <row r="175" spans="1:15" s="5" customFormat="1" x14ac:dyDescent="0.2">
      <c r="A175" s="4">
        <v>1891105</v>
      </c>
      <c r="B175" s="35" t="s">
        <v>2068</v>
      </c>
      <c r="C175" s="2" t="s">
        <v>229</v>
      </c>
      <c r="D175" s="7">
        <f>3+2</f>
        <v>5</v>
      </c>
      <c r="E175" s="7"/>
      <c r="F175" s="17">
        <f>14</f>
        <v>14</v>
      </c>
      <c r="G175" s="17">
        <f>1</f>
        <v>1</v>
      </c>
      <c r="H175" s="17">
        <f>256</f>
        <v>256</v>
      </c>
      <c r="I175" s="16">
        <f>H175/(F175-G175)</f>
        <v>19.692307692307693</v>
      </c>
      <c r="J175" s="17">
        <v>41</v>
      </c>
      <c r="K175" s="25">
        <f>36.2</f>
        <v>36.200000000000003</v>
      </c>
      <c r="L175" s="25">
        <f>13</f>
        <v>13</v>
      </c>
      <c r="M175" s="25">
        <f>109</f>
        <v>109</v>
      </c>
      <c r="N175" s="24">
        <f>M175/L175</f>
        <v>8.384615384615385</v>
      </c>
      <c r="O175" s="49" t="s">
        <v>2261</v>
      </c>
    </row>
    <row r="176" spans="1:15" s="54" customFormat="1" x14ac:dyDescent="0.2">
      <c r="A176" s="4"/>
      <c r="B176" s="35" t="s">
        <v>531</v>
      </c>
      <c r="C176" s="2" t="s">
        <v>18</v>
      </c>
      <c r="D176" s="7">
        <v>2</v>
      </c>
      <c r="E176" s="7"/>
      <c r="F176" s="17">
        <v>9</v>
      </c>
      <c r="G176" s="17">
        <v>1</v>
      </c>
      <c r="H176" s="17">
        <v>118</v>
      </c>
      <c r="I176" s="16">
        <f>H176/(F176-G176)</f>
        <v>14.75</v>
      </c>
      <c r="J176" s="17">
        <v>46</v>
      </c>
      <c r="K176" s="25">
        <v>86</v>
      </c>
      <c r="L176" s="25">
        <v>17</v>
      </c>
      <c r="M176" s="25">
        <v>397</v>
      </c>
      <c r="N176" s="24">
        <f>M176/L176</f>
        <v>23.352941176470587</v>
      </c>
      <c r="O176" s="23"/>
    </row>
    <row r="177" spans="1:15" x14ac:dyDescent="0.2">
      <c r="A177" s="4"/>
      <c r="B177" s="35" t="s">
        <v>532</v>
      </c>
      <c r="C177" s="2" t="s">
        <v>21</v>
      </c>
      <c r="D177" s="7">
        <v>1</v>
      </c>
      <c r="E177" s="7"/>
      <c r="F177" s="17">
        <v>14</v>
      </c>
      <c r="G177" s="17">
        <v>2</v>
      </c>
      <c r="H177" s="17">
        <v>116</v>
      </c>
      <c r="I177" s="16">
        <f>H177/(F177-G177)</f>
        <v>9.6666666666666661</v>
      </c>
      <c r="J177" s="17" t="s">
        <v>399</v>
      </c>
      <c r="K177" s="25">
        <v>118</v>
      </c>
      <c r="L177" s="25">
        <v>13</v>
      </c>
      <c r="M177" s="25">
        <v>288</v>
      </c>
      <c r="N177" s="24">
        <f>M177/L177</f>
        <v>22.153846153846153</v>
      </c>
      <c r="O177" s="23"/>
    </row>
    <row r="178" spans="1:15" x14ac:dyDescent="0.2">
      <c r="A178" s="4">
        <v>2165202</v>
      </c>
      <c r="B178" s="35" t="s">
        <v>2313</v>
      </c>
      <c r="C178" s="2" t="s">
        <v>2314</v>
      </c>
      <c r="D178" s="7">
        <f>0</f>
        <v>0</v>
      </c>
      <c r="E178" s="7">
        <f>0</f>
        <v>0</v>
      </c>
      <c r="F178" s="17">
        <f>1</f>
        <v>1</v>
      </c>
      <c r="G178" s="17">
        <f>1</f>
        <v>1</v>
      </c>
      <c r="H178" s="17">
        <f>1</f>
        <v>1</v>
      </c>
      <c r="I178" s="16" t="e">
        <f>H178/(F178-G178)</f>
        <v>#DIV/0!</v>
      </c>
      <c r="J178" s="17" t="s">
        <v>276</v>
      </c>
      <c r="K178" s="25">
        <f>2</f>
        <v>2</v>
      </c>
      <c r="L178" s="25">
        <f>0</f>
        <v>0</v>
      </c>
      <c r="M178" s="25">
        <f>7</f>
        <v>7</v>
      </c>
      <c r="N178" s="24" t="e">
        <f>M178/L178</f>
        <v>#DIV/0!</v>
      </c>
      <c r="O178" s="23"/>
    </row>
    <row r="179" spans="1:15" x14ac:dyDescent="0.2">
      <c r="A179" s="4"/>
      <c r="B179" s="34" t="s">
        <v>533</v>
      </c>
      <c r="C179" s="2" t="s">
        <v>224</v>
      </c>
      <c r="D179" s="7">
        <v>1</v>
      </c>
      <c r="E179" s="7"/>
      <c r="F179" s="17">
        <v>5</v>
      </c>
      <c r="G179" s="17">
        <v>0</v>
      </c>
      <c r="H179" s="17">
        <v>64</v>
      </c>
      <c r="I179" s="16">
        <f>H179/(F179-G179)</f>
        <v>12.8</v>
      </c>
      <c r="J179" s="17">
        <v>40</v>
      </c>
      <c r="K179" s="25">
        <v>0</v>
      </c>
      <c r="L179" s="25">
        <v>0</v>
      </c>
      <c r="M179" s="25">
        <v>0</v>
      </c>
      <c r="N179" s="24" t="e">
        <f>M179/L179</f>
        <v>#DIV/0!</v>
      </c>
      <c r="O179" s="23"/>
    </row>
    <row r="180" spans="1:15" x14ac:dyDescent="0.2">
      <c r="A180" s="4">
        <v>588180</v>
      </c>
      <c r="B180" s="35" t="s">
        <v>533</v>
      </c>
      <c r="C180" s="2" t="s">
        <v>224</v>
      </c>
      <c r="D180" s="7">
        <f>1</f>
        <v>1</v>
      </c>
      <c r="E180" s="7"/>
      <c r="F180" s="17">
        <f>4</f>
        <v>4</v>
      </c>
      <c r="G180" s="17">
        <f>0</f>
        <v>0</v>
      </c>
      <c r="H180" s="17">
        <f>6</f>
        <v>6</v>
      </c>
      <c r="I180" s="16">
        <f>H180/(F180-G180)</f>
        <v>1.5</v>
      </c>
      <c r="J180" s="17">
        <v>5</v>
      </c>
      <c r="K180" s="25">
        <f>3</f>
        <v>3</v>
      </c>
      <c r="L180" s="25">
        <f>0</f>
        <v>0</v>
      </c>
      <c r="M180" s="25">
        <f>25</f>
        <v>25</v>
      </c>
      <c r="N180" s="24" t="e">
        <f>M180/L180</f>
        <v>#DIV/0!</v>
      </c>
      <c r="O180" s="49" t="s">
        <v>1638</v>
      </c>
    </row>
    <row r="181" spans="1:15" s="54" customFormat="1" x14ac:dyDescent="0.2">
      <c r="A181" s="4"/>
      <c r="B181" s="34" t="s">
        <v>534</v>
      </c>
      <c r="C181" s="2" t="s">
        <v>198</v>
      </c>
      <c r="D181" s="7">
        <v>3</v>
      </c>
      <c r="E181" s="7"/>
      <c r="F181" s="17">
        <v>9</v>
      </c>
      <c r="G181" s="17">
        <v>2</v>
      </c>
      <c r="H181" s="17">
        <v>184</v>
      </c>
      <c r="I181" s="16">
        <f>H181/(F181-G181)</f>
        <v>26.285714285714285</v>
      </c>
      <c r="J181" s="17" t="s">
        <v>291</v>
      </c>
      <c r="K181" s="25">
        <v>24</v>
      </c>
      <c r="L181" s="25">
        <v>6</v>
      </c>
      <c r="M181" s="25">
        <v>86</v>
      </c>
      <c r="N181" s="24">
        <f>M181/L181</f>
        <v>14.333333333333334</v>
      </c>
      <c r="O181" s="23"/>
    </row>
    <row r="182" spans="1:15" x14ac:dyDescent="0.2">
      <c r="A182" s="4"/>
      <c r="B182" s="35" t="s">
        <v>535</v>
      </c>
      <c r="C182" s="2" t="s">
        <v>101</v>
      </c>
      <c r="D182" s="7">
        <v>5</v>
      </c>
      <c r="E182" s="7"/>
      <c r="F182" s="17">
        <v>19</v>
      </c>
      <c r="G182" s="17">
        <v>5</v>
      </c>
      <c r="H182" s="17">
        <v>62</v>
      </c>
      <c r="I182" s="16">
        <f>H182/(F182-G182)</f>
        <v>4.4285714285714288</v>
      </c>
      <c r="J182" s="17" t="s">
        <v>400</v>
      </c>
      <c r="K182" s="25">
        <v>60</v>
      </c>
      <c r="L182" s="25">
        <v>11</v>
      </c>
      <c r="M182" s="25">
        <v>206</v>
      </c>
      <c r="N182" s="24">
        <f>M182/L182</f>
        <v>18.727272727272727</v>
      </c>
      <c r="O182" s="23"/>
    </row>
    <row r="183" spans="1:15" s="5" customFormat="1" x14ac:dyDescent="0.2">
      <c r="A183" s="4"/>
      <c r="B183" s="35" t="s">
        <v>536</v>
      </c>
      <c r="C183" s="2" t="s">
        <v>86</v>
      </c>
      <c r="D183" s="7">
        <f>2+2</f>
        <v>4</v>
      </c>
      <c r="E183" s="7"/>
      <c r="F183" s="17">
        <f>7+1+13</f>
        <v>21</v>
      </c>
      <c r="G183" s="17">
        <f>1+4</f>
        <v>5</v>
      </c>
      <c r="H183" s="17">
        <f>69+2+79</f>
        <v>150</v>
      </c>
      <c r="I183" s="16">
        <f>H183/(F183-G183)</f>
        <v>9.375</v>
      </c>
      <c r="J183" s="17">
        <v>23</v>
      </c>
      <c r="K183" s="25">
        <f>70+6+79</f>
        <v>155</v>
      </c>
      <c r="L183" s="25">
        <f>10+11</f>
        <v>21</v>
      </c>
      <c r="M183" s="25">
        <f>171+5+237</f>
        <v>413</v>
      </c>
      <c r="N183" s="24">
        <f>M183/L183</f>
        <v>19.666666666666668</v>
      </c>
      <c r="O183" s="23"/>
    </row>
    <row r="184" spans="1:15" x14ac:dyDescent="0.2">
      <c r="A184" s="4"/>
      <c r="B184" s="34" t="s">
        <v>537</v>
      </c>
      <c r="C184" s="2" t="s">
        <v>213</v>
      </c>
      <c r="D184" s="8">
        <v>35</v>
      </c>
      <c r="E184" s="7">
        <v>5</v>
      </c>
      <c r="F184" s="17">
        <f>10+11+12+10</f>
        <v>43</v>
      </c>
      <c r="G184" s="17">
        <f>2+2+4+2</f>
        <v>10</v>
      </c>
      <c r="H184" s="17">
        <f>19+113+111+74</f>
        <v>317</v>
      </c>
      <c r="I184" s="16">
        <f>H184/(F184-G184)</f>
        <v>9.6060606060606055</v>
      </c>
      <c r="J184" s="17" t="s">
        <v>291</v>
      </c>
      <c r="K184" s="25">
        <f>2+1+3+2</f>
        <v>8</v>
      </c>
      <c r="L184" s="25">
        <f>1+0+0</f>
        <v>1</v>
      </c>
      <c r="M184" s="25">
        <f>6+4+12+10</f>
        <v>32</v>
      </c>
      <c r="N184" s="24">
        <f>M184/L184</f>
        <v>32</v>
      </c>
      <c r="O184" s="23"/>
    </row>
    <row r="185" spans="1:15" s="54" customFormat="1" x14ac:dyDescent="0.2">
      <c r="A185" s="4"/>
      <c r="B185" s="35" t="s">
        <v>538</v>
      </c>
      <c r="C185" s="2" t="s">
        <v>104</v>
      </c>
      <c r="D185" s="7">
        <f>3+2+10</f>
        <v>15</v>
      </c>
      <c r="E185" s="7"/>
      <c r="F185" s="17">
        <f>7+1+1+8+9</f>
        <v>26</v>
      </c>
      <c r="G185" s="17">
        <f>3+1+1+4</f>
        <v>9</v>
      </c>
      <c r="H185" s="17">
        <f>48+1+24+33</f>
        <v>106</v>
      </c>
      <c r="I185" s="16">
        <f>H185/(F185-G185)</f>
        <v>6.2352941176470589</v>
      </c>
      <c r="J185" s="17">
        <v>15</v>
      </c>
      <c r="K185" s="25">
        <f>41+5+2+82.2+67</f>
        <v>197.2</v>
      </c>
      <c r="L185" s="25">
        <f>6+2+2+13+12</f>
        <v>35</v>
      </c>
      <c r="M185" s="25">
        <f>92+5+16+162+199</f>
        <v>474</v>
      </c>
      <c r="N185" s="24">
        <f>M185/L185</f>
        <v>13.542857142857143</v>
      </c>
      <c r="O185" s="23"/>
    </row>
    <row r="186" spans="1:15" x14ac:dyDescent="0.2">
      <c r="A186" s="4"/>
      <c r="B186" s="35" t="s">
        <v>539</v>
      </c>
      <c r="C186" s="2" t="s">
        <v>11</v>
      </c>
      <c r="D186" s="7">
        <v>2</v>
      </c>
      <c r="E186" s="7"/>
      <c r="F186" s="17">
        <v>17</v>
      </c>
      <c r="G186" s="17">
        <v>1</v>
      </c>
      <c r="H186" s="17">
        <v>186</v>
      </c>
      <c r="I186" s="16">
        <f>H186/(F186-G186)</f>
        <v>11.625</v>
      </c>
      <c r="J186" s="17">
        <v>48</v>
      </c>
      <c r="K186" s="25"/>
      <c r="L186" s="25"/>
      <c r="M186" s="25"/>
      <c r="N186" s="24" t="e">
        <f>M186/L186</f>
        <v>#DIV/0!</v>
      </c>
      <c r="O186" s="23"/>
    </row>
    <row r="187" spans="1:15" x14ac:dyDescent="0.2">
      <c r="A187" s="4"/>
      <c r="B187" s="35" t="s">
        <v>540</v>
      </c>
      <c r="C187" s="2" t="s">
        <v>19</v>
      </c>
      <c r="D187" s="7">
        <v>9</v>
      </c>
      <c r="E187" s="7"/>
      <c r="F187" s="17">
        <v>20</v>
      </c>
      <c r="G187" s="17">
        <v>0</v>
      </c>
      <c r="H187" s="17">
        <v>361</v>
      </c>
      <c r="I187" s="16">
        <f>H187/(F187-G187)</f>
        <v>18.05</v>
      </c>
      <c r="J187" s="17">
        <v>27</v>
      </c>
      <c r="K187" s="25">
        <v>4</v>
      </c>
      <c r="L187" s="25">
        <v>2</v>
      </c>
      <c r="M187" s="25">
        <v>11</v>
      </c>
      <c r="N187" s="24">
        <f>M187/L187</f>
        <v>5.5</v>
      </c>
      <c r="O187" s="23"/>
    </row>
    <row r="188" spans="1:15" s="54" customFormat="1" x14ac:dyDescent="0.2">
      <c r="A188" s="4"/>
      <c r="B188" s="35" t="s">
        <v>541</v>
      </c>
      <c r="C188" s="2" t="s">
        <v>22</v>
      </c>
      <c r="D188" s="7">
        <v>13</v>
      </c>
      <c r="E188" s="7"/>
      <c r="F188" s="17">
        <v>33</v>
      </c>
      <c r="G188" s="17">
        <v>1</v>
      </c>
      <c r="H188" s="17">
        <v>613</v>
      </c>
      <c r="I188" s="16">
        <f>H188/(F188-G188)</f>
        <v>19.15625</v>
      </c>
      <c r="J188" s="17">
        <v>132</v>
      </c>
      <c r="K188" s="25">
        <v>83.3</v>
      </c>
      <c r="L188" s="25">
        <v>15</v>
      </c>
      <c r="M188" s="25">
        <v>401</v>
      </c>
      <c r="N188" s="24">
        <f>M188/L188</f>
        <v>26.733333333333334</v>
      </c>
      <c r="O188" s="23"/>
    </row>
    <row r="189" spans="1:15" x14ac:dyDescent="0.2">
      <c r="A189" s="4"/>
      <c r="B189" s="35" t="s">
        <v>542</v>
      </c>
      <c r="C189" s="2" t="s">
        <v>11</v>
      </c>
      <c r="D189" s="7">
        <f>5+5</f>
        <v>10</v>
      </c>
      <c r="E189" s="7"/>
      <c r="F189" s="17">
        <f>14+8+2+4</f>
        <v>28</v>
      </c>
      <c r="G189" s="17">
        <f>1+1</f>
        <v>2</v>
      </c>
      <c r="H189" s="17">
        <f>47+29+5+23</f>
        <v>104</v>
      </c>
      <c r="I189" s="16">
        <f>H189/(F189-G189)</f>
        <v>4</v>
      </c>
      <c r="J189" s="17" t="s">
        <v>401</v>
      </c>
      <c r="K189" s="25">
        <f>84+56+1</f>
        <v>141</v>
      </c>
      <c r="L189" s="25">
        <f>13+7</f>
        <v>20</v>
      </c>
      <c r="M189" s="25">
        <f>147+85+6</f>
        <v>238</v>
      </c>
      <c r="N189" s="24">
        <f>M189/L189</f>
        <v>11.9</v>
      </c>
      <c r="O189" s="23"/>
    </row>
    <row r="190" spans="1:15" s="54" customFormat="1" x14ac:dyDescent="0.2">
      <c r="A190" s="4"/>
      <c r="B190" s="35" t="s">
        <v>543</v>
      </c>
      <c r="C190" s="2" t="s">
        <v>40</v>
      </c>
      <c r="D190" s="7">
        <f>3+9+7+7+3+0+1+3+2+5+2</f>
        <v>42</v>
      </c>
      <c r="E190" s="7"/>
      <c r="F190" s="17">
        <f>16+12+14+13+13+1+1+8+7+15+11</f>
        <v>111</v>
      </c>
      <c r="G190" s="17">
        <f>2+2+2+0+0+1+0+1+2+3</f>
        <v>13</v>
      </c>
      <c r="H190" s="17">
        <f>45+155+139+125+192+29+28+105+33+116+39</f>
        <v>1006</v>
      </c>
      <c r="I190" s="16">
        <f>H190/(F190-G190)</f>
        <v>10.26530612244898</v>
      </c>
      <c r="J190" s="17">
        <v>91</v>
      </c>
      <c r="K190" s="25">
        <f>47+75+79+93+93+12+10+86+74+128.2+84.8</f>
        <v>782</v>
      </c>
      <c r="L190" s="25">
        <f>6+20+9+25+23+5+3+12+18+28+16</f>
        <v>165</v>
      </c>
      <c r="M190" s="25">
        <f>139+102+182+130+211+28+26+347+217+489+349</f>
        <v>2220</v>
      </c>
      <c r="N190" s="24">
        <f>M190/L190</f>
        <v>13.454545454545455</v>
      </c>
      <c r="O190" s="23"/>
    </row>
    <row r="191" spans="1:15" s="54" customFormat="1" x14ac:dyDescent="0.2">
      <c r="A191" s="4"/>
      <c r="B191" s="35" t="s">
        <v>544</v>
      </c>
      <c r="C191" s="2" t="s">
        <v>141</v>
      </c>
      <c r="D191" s="7">
        <v>0</v>
      </c>
      <c r="E191" s="7"/>
      <c r="F191" s="17">
        <v>2</v>
      </c>
      <c r="G191" s="17">
        <v>0</v>
      </c>
      <c r="H191" s="17">
        <v>6</v>
      </c>
      <c r="I191" s="16">
        <f>H191/(F191-G191)</f>
        <v>3</v>
      </c>
      <c r="J191" s="17">
        <v>6</v>
      </c>
      <c r="K191" s="25">
        <v>11</v>
      </c>
      <c r="L191" s="25">
        <v>1</v>
      </c>
      <c r="M191" s="25">
        <v>63</v>
      </c>
      <c r="N191" s="24">
        <f>M191/L191</f>
        <v>63</v>
      </c>
      <c r="O191" s="23"/>
    </row>
    <row r="192" spans="1:15" s="54" customFormat="1" x14ac:dyDescent="0.2">
      <c r="A192" s="4"/>
      <c r="B192" s="35" t="s">
        <v>545</v>
      </c>
      <c r="C192" s="2" t="s">
        <v>66</v>
      </c>
      <c r="D192" s="7">
        <f>73+6</f>
        <v>79</v>
      </c>
      <c r="E192" s="7"/>
      <c r="F192" s="17">
        <f>106+6+2</f>
        <v>114</v>
      </c>
      <c r="G192" s="17">
        <f>32+1</f>
        <v>33</v>
      </c>
      <c r="H192" s="17">
        <f>1675+52+31</f>
        <v>1758</v>
      </c>
      <c r="I192" s="16">
        <f>H192/(F192-G192)</f>
        <v>21.703703703703702</v>
      </c>
      <c r="J192" s="17">
        <v>63</v>
      </c>
      <c r="K192" s="25">
        <f>1083+37+17</f>
        <v>1137</v>
      </c>
      <c r="L192" s="25">
        <f>261+6+1</f>
        <v>268</v>
      </c>
      <c r="M192" s="25">
        <f>2006+157+42</f>
        <v>2205</v>
      </c>
      <c r="N192" s="24">
        <f>M192/L192</f>
        <v>8.2276119402985071</v>
      </c>
      <c r="O192" s="23"/>
    </row>
    <row r="193" spans="1:15" s="54" customFormat="1" x14ac:dyDescent="0.2">
      <c r="A193" s="4">
        <v>1490618</v>
      </c>
      <c r="B193" s="35" t="s">
        <v>1840</v>
      </c>
      <c r="C193" s="2" t="s">
        <v>72</v>
      </c>
      <c r="D193" s="7">
        <f>0+1</f>
        <v>1</v>
      </c>
      <c r="E193" s="7">
        <f>0</f>
        <v>0</v>
      </c>
      <c r="F193" s="17">
        <f>9+10</f>
        <v>19</v>
      </c>
      <c r="G193" s="17">
        <f>6+2</f>
        <v>8</v>
      </c>
      <c r="H193" s="17">
        <f>23+72</f>
        <v>95</v>
      </c>
      <c r="I193" s="16">
        <f>H193/(F193-G193)</f>
        <v>8.6363636363636367</v>
      </c>
      <c r="J193" s="17" t="s">
        <v>274</v>
      </c>
      <c r="K193" s="25">
        <f>26+10</f>
        <v>36</v>
      </c>
      <c r="L193" s="25">
        <f>5+4</f>
        <v>9</v>
      </c>
      <c r="M193" s="25">
        <f>136+48</f>
        <v>184</v>
      </c>
      <c r="N193" s="24">
        <f>M193/L193</f>
        <v>20.444444444444443</v>
      </c>
      <c r="O193" s="49" t="s">
        <v>1392</v>
      </c>
    </row>
    <row r="194" spans="1:15" s="54" customFormat="1" x14ac:dyDescent="0.2">
      <c r="A194" s="4">
        <v>1490609</v>
      </c>
      <c r="B194" s="35" t="s">
        <v>1841</v>
      </c>
      <c r="C194" s="2" t="s">
        <v>27</v>
      </c>
      <c r="D194" s="7">
        <f>0+1</f>
        <v>1</v>
      </c>
      <c r="E194" s="7">
        <f>0</f>
        <v>0</v>
      </c>
      <c r="F194" s="17">
        <f>10+11</f>
        <v>21</v>
      </c>
      <c r="G194" s="17">
        <f>8+3</f>
        <v>11</v>
      </c>
      <c r="H194" s="17">
        <f>49+30</f>
        <v>79</v>
      </c>
      <c r="I194" s="16">
        <f>H194/(F194-G194)</f>
        <v>7.9</v>
      </c>
      <c r="J194" s="17" t="s">
        <v>268</v>
      </c>
      <c r="K194" s="25">
        <f>27+9.2</f>
        <v>36.200000000000003</v>
      </c>
      <c r="L194" s="25">
        <f>8+1</f>
        <v>9</v>
      </c>
      <c r="M194" s="25">
        <f>117+62</f>
        <v>179</v>
      </c>
      <c r="N194" s="24">
        <f>M194/L194</f>
        <v>19.888888888888889</v>
      </c>
      <c r="O194" s="49" t="s">
        <v>1470</v>
      </c>
    </row>
    <row r="195" spans="1:15" x14ac:dyDescent="0.2">
      <c r="A195" s="4">
        <v>660236</v>
      </c>
      <c r="B195" s="35" t="s">
        <v>546</v>
      </c>
      <c r="C195" s="2" t="s">
        <v>80</v>
      </c>
      <c r="D195" s="7">
        <f>6+1+4+8+7+3+3+9+4+10+8</f>
        <v>63</v>
      </c>
      <c r="E195" s="7">
        <f>0</f>
        <v>0</v>
      </c>
      <c r="F195" s="17">
        <f>1+13+2+17+14+19+11+2+8+11+5+13+10</f>
        <v>126</v>
      </c>
      <c r="G195" s="17">
        <f>1+2+0+1+0+0+1+1+0+0+2</f>
        <v>8</v>
      </c>
      <c r="H195" s="17">
        <f>12+140+8+266+178+255+595+4+156+124+74+337+274</f>
        <v>2423</v>
      </c>
      <c r="I195" s="16">
        <f>H195/(F195-G195)</f>
        <v>20.533898305084747</v>
      </c>
      <c r="J195" s="17">
        <v>126</v>
      </c>
      <c r="K195" s="25">
        <f>74+8+64+61+53+119+11+41+102.2+54.9+104.1+42</f>
        <v>734.2</v>
      </c>
      <c r="L195" s="25">
        <f>16+1+7+14+13+18+2+9+16+6+15+9</f>
        <v>126</v>
      </c>
      <c r="M195" s="25">
        <f>169+6+141+222+264+491+41+192+346+243+400+156</f>
        <v>2671</v>
      </c>
      <c r="N195" s="24">
        <f>M195/L195</f>
        <v>21.198412698412699</v>
      </c>
      <c r="O195" s="49" t="s">
        <v>1357</v>
      </c>
    </row>
    <row r="196" spans="1:15" s="54" customFormat="1" x14ac:dyDescent="0.2">
      <c r="A196" s="4"/>
      <c r="B196" s="35" t="s">
        <v>547</v>
      </c>
      <c r="C196" s="2" t="s">
        <v>12</v>
      </c>
      <c r="D196" s="7">
        <v>2</v>
      </c>
      <c r="E196" s="7"/>
      <c r="F196" s="17">
        <v>7</v>
      </c>
      <c r="G196" s="17">
        <v>0</v>
      </c>
      <c r="H196" s="17">
        <v>42</v>
      </c>
      <c r="I196" s="16">
        <f>H196/(F196-G196)</f>
        <v>6</v>
      </c>
      <c r="J196" s="17">
        <v>15</v>
      </c>
      <c r="K196" s="25">
        <v>59</v>
      </c>
      <c r="L196" s="25">
        <v>7</v>
      </c>
      <c r="M196" s="25">
        <v>140</v>
      </c>
      <c r="N196" s="24">
        <f>M196/L196</f>
        <v>20</v>
      </c>
      <c r="O196" s="23"/>
    </row>
    <row r="197" spans="1:15" x14ac:dyDescent="0.2">
      <c r="A197" s="4"/>
      <c r="B197" s="35" t="s">
        <v>548</v>
      </c>
      <c r="C197" s="2" t="s">
        <v>101</v>
      </c>
      <c r="D197" s="7">
        <v>29</v>
      </c>
      <c r="E197" s="7"/>
      <c r="F197" s="17">
        <v>58</v>
      </c>
      <c r="G197" s="17">
        <v>5</v>
      </c>
      <c r="H197" s="17">
        <v>1110</v>
      </c>
      <c r="I197" s="16">
        <f>H197/(F197-G197)</f>
        <v>20.943396226415093</v>
      </c>
      <c r="J197" s="17">
        <v>65</v>
      </c>
      <c r="K197" s="25">
        <v>212.1</v>
      </c>
      <c r="L197" s="25">
        <v>49</v>
      </c>
      <c r="M197" s="25">
        <v>1115</v>
      </c>
      <c r="N197" s="24">
        <f>M197/L197</f>
        <v>22.755102040816325</v>
      </c>
      <c r="O197" s="23"/>
    </row>
    <row r="198" spans="1:15" s="5" customFormat="1" x14ac:dyDescent="0.2">
      <c r="A198" s="4"/>
      <c r="B198" s="35" t="s">
        <v>549</v>
      </c>
      <c r="C198" s="2" t="s">
        <v>21</v>
      </c>
      <c r="D198" s="7">
        <v>1</v>
      </c>
      <c r="E198" s="7"/>
      <c r="F198" s="17">
        <v>31</v>
      </c>
      <c r="G198" s="17">
        <v>7</v>
      </c>
      <c r="H198" s="17">
        <v>104</v>
      </c>
      <c r="I198" s="16">
        <f>H198/(F198-G198)</f>
        <v>4.333333333333333</v>
      </c>
      <c r="J198" s="17">
        <v>18</v>
      </c>
      <c r="K198" s="25">
        <v>15</v>
      </c>
      <c r="L198" s="25">
        <v>5</v>
      </c>
      <c r="M198" s="25">
        <v>83</v>
      </c>
      <c r="N198" s="24">
        <f>M198/L198</f>
        <v>16.600000000000001</v>
      </c>
      <c r="O198" s="23"/>
    </row>
    <row r="199" spans="1:15" s="5" customFormat="1" x14ac:dyDescent="0.2">
      <c r="A199" s="4"/>
      <c r="B199" s="34" t="s">
        <v>550</v>
      </c>
      <c r="C199" s="2" t="s">
        <v>266</v>
      </c>
      <c r="D199" s="7">
        <f>0+1</f>
        <v>1</v>
      </c>
      <c r="E199" s="7"/>
      <c r="F199" s="17">
        <f>13+1</f>
        <v>14</v>
      </c>
      <c r="G199" s="17">
        <f>1+1</f>
        <v>2</v>
      </c>
      <c r="H199" s="17">
        <f>78+1</f>
        <v>79</v>
      </c>
      <c r="I199" s="16">
        <f>H199/(F199-G199)</f>
        <v>6.583333333333333</v>
      </c>
      <c r="J199" s="17">
        <v>19</v>
      </c>
      <c r="K199" s="25">
        <f>45+2</f>
        <v>47</v>
      </c>
      <c r="L199" s="25">
        <f>7+1</f>
        <v>8</v>
      </c>
      <c r="M199" s="25">
        <v>129</v>
      </c>
      <c r="N199" s="24">
        <f>M199/L199</f>
        <v>16.125</v>
      </c>
      <c r="O199" s="23"/>
    </row>
    <row r="200" spans="1:15" x14ac:dyDescent="0.2">
      <c r="A200" s="4"/>
      <c r="B200" s="35" t="s">
        <v>551</v>
      </c>
      <c r="C200" s="2" t="s">
        <v>11</v>
      </c>
      <c r="D200" s="7">
        <v>50</v>
      </c>
      <c r="E200" s="7"/>
      <c r="F200" s="17">
        <v>146</v>
      </c>
      <c r="G200" s="17">
        <v>40</v>
      </c>
      <c r="H200" s="17">
        <v>1310</v>
      </c>
      <c r="I200" s="16">
        <f>H200/(F200-G200)</f>
        <v>12.358490566037736</v>
      </c>
      <c r="J200" s="17" t="s">
        <v>394</v>
      </c>
      <c r="K200" s="25">
        <v>1548</v>
      </c>
      <c r="L200" s="25">
        <v>347</v>
      </c>
      <c r="M200" s="25">
        <v>5268</v>
      </c>
      <c r="N200" s="24">
        <f>M200/L200</f>
        <v>15.181556195965419</v>
      </c>
      <c r="O200" s="23"/>
    </row>
    <row r="201" spans="1:15" x14ac:dyDescent="0.2">
      <c r="A201" s="4"/>
      <c r="B201" s="35" t="s">
        <v>554</v>
      </c>
      <c r="C201" s="2" t="s">
        <v>43</v>
      </c>
      <c r="D201" s="7">
        <f>1+2</f>
        <v>3</v>
      </c>
      <c r="E201" s="7"/>
      <c r="F201" s="17">
        <f>27+6</f>
        <v>33</v>
      </c>
      <c r="G201" s="17">
        <v>1</v>
      </c>
      <c r="H201" s="17">
        <f>79+112</f>
        <v>191</v>
      </c>
      <c r="I201" s="16">
        <f>H201/(F201-G201)</f>
        <v>5.96875</v>
      </c>
      <c r="J201" s="17">
        <v>64</v>
      </c>
      <c r="K201" s="25">
        <v>97</v>
      </c>
      <c r="L201" s="25">
        <v>18</v>
      </c>
      <c r="M201" s="25">
        <v>349</v>
      </c>
      <c r="N201" s="24">
        <f>M201/L201</f>
        <v>19.388888888888889</v>
      </c>
      <c r="O201" s="23"/>
    </row>
    <row r="202" spans="1:15" x14ac:dyDescent="0.2">
      <c r="A202" s="4"/>
      <c r="B202" s="35" t="s">
        <v>552</v>
      </c>
      <c r="C202" s="2" t="s">
        <v>63</v>
      </c>
      <c r="D202" s="7">
        <f>5+2+1</f>
        <v>8</v>
      </c>
      <c r="E202" s="7"/>
      <c r="F202" s="17">
        <f>72+12+12+13</f>
        <v>109</v>
      </c>
      <c r="G202" s="17">
        <f>22+2</f>
        <v>24</v>
      </c>
      <c r="H202" s="17">
        <f>798+171+30+208</f>
        <v>1207</v>
      </c>
      <c r="I202" s="16">
        <f>H202/(F202-G202)</f>
        <v>14.2</v>
      </c>
      <c r="J202" s="17">
        <v>81</v>
      </c>
      <c r="K202" s="25">
        <f>307+109+46+91</f>
        <v>553</v>
      </c>
      <c r="L202" s="25">
        <f>51+32+12+20</f>
        <v>115</v>
      </c>
      <c r="M202" s="25">
        <f>685+243+198+393</f>
        <v>1519</v>
      </c>
      <c r="N202" s="24">
        <f>M202/L202</f>
        <v>13.208695652173914</v>
      </c>
      <c r="O202" s="23"/>
    </row>
    <row r="203" spans="1:15" s="5" customFormat="1" x14ac:dyDescent="0.2">
      <c r="A203" s="4"/>
      <c r="B203" s="35" t="s">
        <v>553</v>
      </c>
      <c r="C203" s="2" t="s">
        <v>86</v>
      </c>
      <c r="D203" s="7">
        <v>153</v>
      </c>
      <c r="E203" s="7"/>
      <c r="F203" s="17">
        <v>328</v>
      </c>
      <c r="G203" s="17">
        <v>77</v>
      </c>
      <c r="H203" s="17">
        <v>3627</v>
      </c>
      <c r="I203" s="16">
        <f>H203/(F203-G203)</f>
        <v>14.450199203187251</v>
      </c>
      <c r="J203" s="17" t="s">
        <v>402</v>
      </c>
      <c r="K203" s="25">
        <v>3806</v>
      </c>
      <c r="L203" s="25">
        <v>857</v>
      </c>
      <c r="M203" s="25">
        <v>12665</v>
      </c>
      <c r="N203" s="24">
        <f>M203/L203</f>
        <v>14.778296382730455</v>
      </c>
      <c r="O203" s="23"/>
    </row>
    <row r="204" spans="1:15" s="54" customFormat="1" x14ac:dyDescent="0.2">
      <c r="A204" s="4"/>
      <c r="B204" s="35" t="s">
        <v>555</v>
      </c>
      <c r="C204" s="2" t="s">
        <v>11</v>
      </c>
      <c r="D204" s="7">
        <f>3+3</f>
        <v>6</v>
      </c>
      <c r="E204" s="7"/>
      <c r="F204" s="17">
        <f>10+5</f>
        <v>15</v>
      </c>
      <c r="G204" s="17">
        <v>1</v>
      </c>
      <c r="H204" s="17">
        <f>20+5</f>
        <v>25</v>
      </c>
      <c r="I204" s="16">
        <f>H204/(F204-G204)</f>
        <v>1.7857142857142858</v>
      </c>
      <c r="J204" s="17" t="s">
        <v>347</v>
      </c>
      <c r="K204" s="25">
        <f>54+49+5</f>
        <v>108</v>
      </c>
      <c r="L204" s="25">
        <f>15+13</f>
        <v>28</v>
      </c>
      <c r="M204" s="25">
        <f>137+117+13</f>
        <v>267</v>
      </c>
      <c r="N204" s="24">
        <f>M204/L204</f>
        <v>9.5357142857142865</v>
      </c>
      <c r="O204" s="23"/>
    </row>
    <row r="205" spans="1:15" s="5" customFormat="1" x14ac:dyDescent="0.2">
      <c r="A205" s="4"/>
      <c r="B205" s="35" t="s">
        <v>556</v>
      </c>
      <c r="C205" s="2" t="s">
        <v>17</v>
      </c>
      <c r="D205" s="7">
        <v>11</v>
      </c>
      <c r="E205" s="7"/>
      <c r="F205" s="17">
        <v>24</v>
      </c>
      <c r="G205" s="17">
        <v>3</v>
      </c>
      <c r="H205" s="17">
        <v>202</v>
      </c>
      <c r="I205" s="16">
        <f>H205/(F205-G205)</f>
        <v>9.6190476190476186</v>
      </c>
      <c r="J205" s="17" t="s">
        <v>320</v>
      </c>
      <c r="K205" s="25">
        <v>118</v>
      </c>
      <c r="L205" s="25">
        <v>13</v>
      </c>
      <c r="M205" s="25">
        <v>409</v>
      </c>
      <c r="N205" s="24">
        <f>M205/L205</f>
        <v>31.46153846153846</v>
      </c>
      <c r="O205" s="23"/>
    </row>
    <row r="206" spans="1:15" x14ac:dyDescent="0.2">
      <c r="A206" s="4"/>
      <c r="B206" s="35" t="s">
        <v>557</v>
      </c>
      <c r="C206" s="2" t="s">
        <v>9</v>
      </c>
      <c r="D206" s="7">
        <v>1</v>
      </c>
      <c r="E206" s="7"/>
      <c r="F206" s="17">
        <v>27</v>
      </c>
      <c r="G206" s="17">
        <v>1</v>
      </c>
      <c r="H206" s="17">
        <v>79</v>
      </c>
      <c r="I206" s="16">
        <f>H206/(F206-G206)</f>
        <v>3.0384615384615383</v>
      </c>
      <c r="J206" s="17">
        <v>16</v>
      </c>
      <c r="K206" s="25">
        <v>97</v>
      </c>
      <c r="L206" s="25">
        <v>18</v>
      </c>
      <c r="M206" s="25">
        <v>349</v>
      </c>
      <c r="N206" s="24">
        <f>M206/L206</f>
        <v>19.388888888888889</v>
      </c>
      <c r="O206" s="23"/>
    </row>
    <row r="207" spans="1:15" x14ac:dyDescent="0.2">
      <c r="A207" s="4">
        <v>119151</v>
      </c>
      <c r="B207" s="35" t="s">
        <v>2069</v>
      </c>
      <c r="C207" s="2" t="s">
        <v>2070</v>
      </c>
      <c r="D207" s="7">
        <f>0</f>
        <v>0</v>
      </c>
      <c r="E207" s="7"/>
      <c r="F207" s="17">
        <f>5</f>
        <v>5</v>
      </c>
      <c r="G207" s="17">
        <f>0</f>
        <v>0</v>
      </c>
      <c r="H207" s="17">
        <f>68</f>
        <v>68</v>
      </c>
      <c r="I207" s="16">
        <f>H207/(F207-G207)</f>
        <v>13.6</v>
      </c>
      <c r="J207" s="17">
        <v>36</v>
      </c>
      <c r="K207" s="25">
        <f>69.3</f>
        <v>69.3</v>
      </c>
      <c r="L207" s="25">
        <f>6</f>
        <v>6</v>
      </c>
      <c r="M207" s="25">
        <f>223</f>
        <v>223</v>
      </c>
      <c r="N207" s="24">
        <f>M207/L207</f>
        <v>37.166666666666664</v>
      </c>
      <c r="O207" s="49" t="s">
        <v>2262</v>
      </c>
    </row>
    <row r="208" spans="1:15" s="54" customFormat="1" x14ac:dyDescent="0.2">
      <c r="A208" s="4">
        <v>2113440</v>
      </c>
      <c r="B208" s="35" t="s">
        <v>2315</v>
      </c>
      <c r="C208" s="2" t="s">
        <v>2316</v>
      </c>
      <c r="D208" s="7">
        <f>0</f>
        <v>0</v>
      </c>
      <c r="E208" s="7">
        <f>0</f>
        <v>0</v>
      </c>
      <c r="F208" s="17">
        <f>8</f>
        <v>8</v>
      </c>
      <c r="G208" s="17">
        <f>0</f>
        <v>0</v>
      </c>
      <c r="H208" s="17">
        <f>46</f>
        <v>46</v>
      </c>
      <c r="I208" s="16">
        <f>H208/(F208-G208)</f>
        <v>5.75</v>
      </c>
      <c r="J208" s="17">
        <v>18</v>
      </c>
      <c r="K208" s="25">
        <f>6.2</f>
        <v>6.2</v>
      </c>
      <c r="L208" s="25">
        <f>1</f>
        <v>1</v>
      </c>
      <c r="M208" s="25">
        <f>26</f>
        <v>26</v>
      </c>
      <c r="N208" s="24">
        <f>M208/L208</f>
        <v>26</v>
      </c>
      <c r="O208" s="49" t="s">
        <v>1645</v>
      </c>
    </row>
    <row r="209" spans="1:15" s="54" customFormat="1" x14ac:dyDescent="0.2">
      <c r="A209" s="4"/>
      <c r="B209" s="35" t="s">
        <v>558</v>
      </c>
      <c r="C209" s="2" t="s">
        <v>18</v>
      </c>
      <c r="D209" s="7">
        <v>1</v>
      </c>
      <c r="E209" s="7"/>
      <c r="F209" s="17">
        <v>4</v>
      </c>
      <c r="G209" s="17">
        <v>1</v>
      </c>
      <c r="H209" s="17">
        <v>4</v>
      </c>
      <c r="I209" s="16">
        <f>H209/(F209-G209)</f>
        <v>1.3333333333333333</v>
      </c>
      <c r="J209" s="17">
        <v>2</v>
      </c>
      <c r="K209" s="25">
        <v>4</v>
      </c>
      <c r="L209" s="25">
        <v>0</v>
      </c>
      <c r="M209" s="25">
        <v>24</v>
      </c>
      <c r="N209" s="24" t="e">
        <f>M209/L209</f>
        <v>#DIV/0!</v>
      </c>
      <c r="O209" s="23"/>
    </row>
    <row r="210" spans="1:15" x14ac:dyDescent="0.2">
      <c r="A210" s="4"/>
      <c r="B210" s="35" t="s">
        <v>559</v>
      </c>
      <c r="C210" s="2" t="s">
        <v>13</v>
      </c>
      <c r="D210" s="7">
        <v>1</v>
      </c>
      <c r="E210" s="7"/>
      <c r="F210" s="17">
        <v>7</v>
      </c>
      <c r="G210" s="17">
        <v>3</v>
      </c>
      <c r="H210" s="17">
        <v>7</v>
      </c>
      <c r="I210" s="16">
        <f>H210/(F210-G210)</f>
        <v>1.75</v>
      </c>
      <c r="J210" s="17">
        <v>5</v>
      </c>
      <c r="K210" s="25">
        <v>5</v>
      </c>
      <c r="L210" s="25">
        <v>0</v>
      </c>
      <c r="M210" s="25">
        <v>16</v>
      </c>
      <c r="N210" s="24" t="e">
        <f>M210/L210</f>
        <v>#DIV/0!</v>
      </c>
      <c r="O210" s="23"/>
    </row>
    <row r="211" spans="1:15" s="5" customFormat="1" x14ac:dyDescent="0.2">
      <c r="A211" s="4"/>
      <c r="B211" s="34" t="s">
        <v>560</v>
      </c>
      <c r="C211" s="2" t="s">
        <v>27</v>
      </c>
      <c r="D211" s="7">
        <v>8</v>
      </c>
      <c r="E211" s="7"/>
      <c r="F211" s="17">
        <v>13</v>
      </c>
      <c r="G211" s="17">
        <v>4</v>
      </c>
      <c r="H211" s="17">
        <v>240</v>
      </c>
      <c r="I211" s="16">
        <f>H211/(F211-G211)</f>
        <v>26.666666666666668</v>
      </c>
      <c r="J211" s="17">
        <v>59</v>
      </c>
      <c r="K211" s="25">
        <v>0</v>
      </c>
      <c r="L211" s="25">
        <v>0</v>
      </c>
      <c r="M211" s="25">
        <v>0</v>
      </c>
      <c r="N211" s="24" t="e">
        <f>M211/L211</f>
        <v>#DIV/0!</v>
      </c>
      <c r="O211" s="23"/>
    </row>
    <row r="212" spans="1:15" x14ac:dyDescent="0.2">
      <c r="A212" s="4"/>
      <c r="B212" s="35" t="s">
        <v>561</v>
      </c>
      <c r="C212" s="2" t="s">
        <v>19</v>
      </c>
      <c r="D212" s="7">
        <v>1</v>
      </c>
      <c r="E212" s="7"/>
      <c r="F212" s="17">
        <f>6+1</f>
        <v>7</v>
      </c>
      <c r="G212" s="17">
        <v>2</v>
      </c>
      <c r="H212" s="17">
        <f>28+19</f>
        <v>47</v>
      </c>
      <c r="I212" s="16">
        <f>H212/(F212-G212)</f>
        <v>9.4</v>
      </c>
      <c r="J212" s="17">
        <v>19</v>
      </c>
      <c r="K212" s="25"/>
      <c r="L212" s="25"/>
      <c r="M212" s="25"/>
      <c r="N212" s="24" t="e">
        <f>M212/L212</f>
        <v>#DIV/0!</v>
      </c>
      <c r="O212" s="23"/>
    </row>
    <row r="213" spans="1:15" x14ac:dyDescent="0.2">
      <c r="A213" s="4">
        <v>1661876</v>
      </c>
      <c r="B213" s="35" t="s">
        <v>2071</v>
      </c>
      <c r="C213" s="2" t="s">
        <v>2072</v>
      </c>
      <c r="D213" s="7">
        <f>0+3+1</f>
        <v>4</v>
      </c>
      <c r="E213" s="7">
        <f>0+0</f>
        <v>0</v>
      </c>
      <c r="F213" s="17">
        <f>12+15+8</f>
        <v>35</v>
      </c>
      <c r="G213" s="17">
        <f>0+5+3</f>
        <v>8</v>
      </c>
      <c r="H213" s="17">
        <f>46+178+30</f>
        <v>254</v>
      </c>
      <c r="I213" s="16">
        <f>H213/(F213-G213)</f>
        <v>9.4074074074074066</v>
      </c>
      <c r="J213" s="17" t="s">
        <v>1611</v>
      </c>
      <c r="K213" s="25">
        <f>54+63+19.2</f>
        <v>136.19999999999999</v>
      </c>
      <c r="L213" s="25">
        <f>13+11+6</f>
        <v>30</v>
      </c>
      <c r="M213" s="25">
        <f>176+183+75</f>
        <v>434</v>
      </c>
      <c r="N213" s="24">
        <f>M213/L213</f>
        <v>14.466666666666667</v>
      </c>
      <c r="O213" s="49" t="s">
        <v>1464</v>
      </c>
    </row>
    <row r="214" spans="1:15" x14ac:dyDescent="0.2">
      <c r="A214" s="4"/>
      <c r="B214" s="35" t="s">
        <v>562</v>
      </c>
      <c r="C214" s="2" t="s">
        <v>19</v>
      </c>
      <c r="D214" s="7">
        <v>2</v>
      </c>
      <c r="E214" s="7"/>
      <c r="F214" s="17">
        <f>8+9+12+1</f>
        <v>30</v>
      </c>
      <c r="G214" s="17">
        <f>1+2</f>
        <v>3</v>
      </c>
      <c r="H214" s="17">
        <f>23+10+97+1</f>
        <v>131</v>
      </c>
      <c r="I214" s="16">
        <f>H214/(F214-G214)</f>
        <v>4.8518518518518521</v>
      </c>
      <c r="J214" s="17">
        <v>57</v>
      </c>
      <c r="K214" s="25">
        <f>26+58+53+9</f>
        <v>146</v>
      </c>
      <c r="L214" s="25">
        <f>3+14+17+1</f>
        <v>35</v>
      </c>
      <c r="M214" s="25">
        <f>58+109+176+25</f>
        <v>368</v>
      </c>
      <c r="N214" s="24">
        <f>M214/L214</f>
        <v>10.514285714285714</v>
      </c>
      <c r="O214" s="23"/>
    </row>
    <row r="215" spans="1:15" s="5" customFormat="1" x14ac:dyDescent="0.2">
      <c r="A215" s="4"/>
      <c r="B215" s="35" t="s">
        <v>563</v>
      </c>
      <c r="C215" s="2" t="s">
        <v>16</v>
      </c>
      <c r="D215" s="7">
        <v>1</v>
      </c>
      <c r="E215" s="7"/>
      <c r="F215" s="17">
        <v>7</v>
      </c>
      <c r="G215" s="17">
        <v>1</v>
      </c>
      <c r="H215" s="17">
        <v>53</v>
      </c>
      <c r="I215" s="16">
        <f>H215/(F215-G215)</f>
        <v>8.8333333333333339</v>
      </c>
      <c r="J215" s="17">
        <v>17</v>
      </c>
      <c r="K215" s="25">
        <v>22</v>
      </c>
      <c r="L215" s="25">
        <v>1</v>
      </c>
      <c r="M215" s="25">
        <v>54</v>
      </c>
      <c r="N215" s="24">
        <f>M215/L215</f>
        <v>54</v>
      </c>
      <c r="O215" s="23"/>
    </row>
    <row r="216" spans="1:15" x14ac:dyDescent="0.2">
      <c r="A216" s="4">
        <v>1763889</v>
      </c>
      <c r="B216" s="35" t="s">
        <v>2073</v>
      </c>
      <c r="C216" s="2" t="s">
        <v>94</v>
      </c>
      <c r="D216" s="7">
        <f>0</f>
        <v>0</v>
      </c>
      <c r="E216" s="7"/>
      <c r="F216" s="17">
        <f>5</f>
        <v>5</v>
      </c>
      <c r="G216" s="17">
        <f>0</f>
        <v>0</v>
      </c>
      <c r="H216" s="17">
        <f>14</f>
        <v>14</v>
      </c>
      <c r="I216" s="16">
        <f>H216/(F216-G216)</f>
        <v>2.8</v>
      </c>
      <c r="J216" s="17">
        <v>11</v>
      </c>
      <c r="K216" s="25">
        <f>28</f>
        <v>28</v>
      </c>
      <c r="L216" s="25">
        <f>10</f>
        <v>10</v>
      </c>
      <c r="M216" s="25">
        <f>122</f>
        <v>122</v>
      </c>
      <c r="N216" s="24">
        <f>M216/L216</f>
        <v>12.2</v>
      </c>
      <c r="O216" s="49" t="s">
        <v>1802</v>
      </c>
    </row>
    <row r="217" spans="1:15" x14ac:dyDescent="0.2">
      <c r="A217" s="4"/>
      <c r="B217" s="34" t="s">
        <v>564</v>
      </c>
      <c r="C217" s="2" t="s">
        <v>121</v>
      </c>
      <c r="D217" s="7">
        <f>0</f>
        <v>0</v>
      </c>
      <c r="E217" s="7"/>
      <c r="F217" s="17">
        <f>7</f>
        <v>7</v>
      </c>
      <c r="G217" s="17">
        <f>1</f>
        <v>1</v>
      </c>
      <c r="H217" s="17">
        <f>2</f>
        <v>2</v>
      </c>
      <c r="I217" s="16">
        <f>H217/(F217-G217)</f>
        <v>0.33333333333333331</v>
      </c>
      <c r="J217" s="17" t="s">
        <v>276</v>
      </c>
      <c r="K217" s="25">
        <f>1</f>
        <v>1</v>
      </c>
      <c r="L217" s="25">
        <f>0</f>
        <v>0</v>
      </c>
      <c r="M217" s="25">
        <f>7</f>
        <v>7</v>
      </c>
      <c r="N217" s="24" t="e">
        <f>M217/L217</f>
        <v>#DIV/0!</v>
      </c>
      <c r="O217" s="23"/>
    </row>
    <row r="218" spans="1:15" s="54" customFormat="1" x14ac:dyDescent="0.2">
      <c r="A218" s="4"/>
      <c r="B218" s="34" t="s">
        <v>565</v>
      </c>
      <c r="C218" s="2" t="s">
        <v>214</v>
      </c>
      <c r="D218" s="7">
        <f>2+5+10+2</f>
        <v>19</v>
      </c>
      <c r="E218" s="7"/>
      <c r="F218" s="17">
        <f>14+13+13</f>
        <v>40</v>
      </c>
      <c r="G218" s="17">
        <f>1+2+1+2</f>
        <v>6</v>
      </c>
      <c r="H218" s="17">
        <f>37+92+114+164</f>
        <v>407</v>
      </c>
      <c r="I218" s="16">
        <f>H218/(F218-G218)</f>
        <v>11.970588235294118</v>
      </c>
      <c r="J218" s="17">
        <v>47</v>
      </c>
      <c r="K218" s="25">
        <f>41+54+90+82</f>
        <v>267</v>
      </c>
      <c r="L218" s="25">
        <f>8+16+14+22</f>
        <v>60</v>
      </c>
      <c r="M218" s="25">
        <f>106+110+237+200</f>
        <v>653</v>
      </c>
      <c r="N218" s="24">
        <f>M218/L218</f>
        <v>10.883333333333333</v>
      </c>
      <c r="O218" s="23"/>
    </row>
    <row r="219" spans="1:15" s="54" customFormat="1" x14ac:dyDescent="0.2">
      <c r="A219" s="4"/>
      <c r="B219" s="34" t="s">
        <v>566</v>
      </c>
      <c r="C219" s="2" t="s">
        <v>267</v>
      </c>
      <c r="D219" s="7">
        <v>2</v>
      </c>
      <c r="E219" s="7"/>
      <c r="F219" s="17">
        <v>17</v>
      </c>
      <c r="G219" s="17">
        <v>1</v>
      </c>
      <c r="H219" s="17">
        <v>36</v>
      </c>
      <c r="I219" s="16">
        <f>H219/(F219-G219)</f>
        <v>2.25</v>
      </c>
      <c r="J219" s="17" t="s">
        <v>268</v>
      </c>
      <c r="K219" s="25">
        <v>64</v>
      </c>
      <c r="L219" s="25">
        <v>6</v>
      </c>
      <c r="M219" s="25">
        <v>137</v>
      </c>
      <c r="N219" s="24">
        <f>M219/L219</f>
        <v>22.833333333333332</v>
      </c>
      <c r="O219" s="23"/>
    </row>
    <row r="220" spans="1:15" s="5" customFormat="1" x14ac:dyDescent="0.2">
      <c r="A220" s="4"/>
      <c r="B220" s="34" t="s">
        <v>567</v>
      </c>
      <c r="C220" s="2" t="s">
        <v>146</v>
      </c>
      <c r="D220" s="7">
        <v>0</v>
      </c>
      <c r="E220" s="7"/>
      <c r="F220" s="17">
        <v>6</v>
      </c>
      <c r="G220" s="17">
        <v>1</v>
      </c>
      <c r="H220" s="17">
        <v>10</v>
      </c>
      <c r="I220" s="16">
        <f>H220/(F220-G220)</f>
        <v>2</v>
      </c>
      <c r="J220" s="17">
        <v>5</v>
      </c>
      <c r="K220" s="25">
        <v>8.5</v>
      </c>
      <c r="L220" s="25">
        <v>1</v>
      </c>
      <c r="M220" s="25">
        <v>57</v>
      </c>
      <c r="N220" s="24">
        <f>M220/L220</f>
        <v>57</v>
      </c>
      <c r="O220" s="23"/>
    </row>
    <row r="221" spans="1:15" x14ac:dyDescent="0.2">
      <c r="A221" s="4"/>
      <c r="B221" s="35" t="s">
        <v>568</v>
      </c>
      <c r="C221" s="2" t="s">
        <v>68</v>
      </c>
      <c r="D221" s="7">
        <v>10</v>
      </c>
      <c r="E221" s="7"/>
      <c r="F221" s="17">
        <v>13</v>
      </c>
      <c r="G221" s="17">
        <v>3</v>
      </c>
      <c r="H221" s="17">
        <v>96</v>
      </c>
      <c r="I221" s="16">
        <f>H221/(F221-G221)</f>
        <v>9.6</v>
      </c>
      <c r="J221" s="17">
        <v>22</v>
      </c>
      <c r="K221" s="25">
        <v>33</v>
      </c>
      <c r="L221" s="25">
        <v>5</v>
      </c>
      <c r="M221" s="25">
        <v>68</v>
      </c>
      <c r="N221" s="24">
        <f>M221/L221</f>
        <v>13.6</v>
      </c>
      <c r="O221" s="23"/>
    </row>
    <row r="222" spans="1:15" s="6" customFormat="1" x14ac:dyDescent="0.2">
      <c r="A222" s="4">
        <v>716130</v>
      </c>
      <c r="B222" s="35" t="s">
        <v>1518</v>
      </c>
      <c r="C222" s="2" t="s">
        <v>1519</v>
      </c>
      <c r="D222" s="7">
        <f>2+0</f>
        <v>2</v>
      </c>
      <c r="E222" s="7">
        <f>0</f>
        <v>0</v>
      </c>
      <c r="F222" s="17">
        <f>2+2</f>
        <v>4</v>
      </c>
      <c r="G222" s="17">
        <f>1+1</f>
        <v>2</v>
      </c>
      <c r="H222" s="17">
        <f>34+18</f>
        <v>52</v>
      </c>
      <c r="I222" s="16">
        <f>H222/(F222-G222)</f>
        <v>26</v>
      </c>
      <c r="J222" s="17">
        <v>22</v>
      </c>
      <c r="K222" s="25">
        <f>7</f>
        <v>7</v>
      </c>
      <c r="L222" s="25">
        <f>1</f>
        <v>1</v>
      </c>
      <c r="M222" s="25">
        <f>33</f>
        <v>33</v>
      </c>
      <c r="N222" s="24">
        <f>M222/L222</f>
        <v>33</v>
      </c>
      <c r="O222" s="49" t="s">
        <v>1622</v>
      </c>
    </row>
    <row r="223" spans="1:15" x14ac:dyDescent="0.2">
      <c r="A223" s="4"/>
      <c r="B223" s="35" t="s">
        <v>569</v>
      </c>
      <c r="C223" s="2" t="s">
        <v>115</v>
      </c>
      <c r="D223" s="7">
        <f>2+1</f>
        <v>3</v>
      </c>
      <c r="E223" s="7"/>
      <c r="F223" s="17">
        <f>14+2</f>
        <v>16</v>
      </c>
      <c r="G223" s="17">
        <v>1</v>
      </c>
      <c r="H223" s="17">
        <f>55+5</f>
        <v>60</v>
      </c>
      <c r="I223" s="16">
        <f>H223/(F223-G223)</f>
        <v>4</v>
      </c>
      <c r="J223" s="17">
        <v>12</v>
      </c>
      <c r="K223" s="25">
        <v>1</v>
      </c>
      <c r="L223" s="25"/>
      <c r="M223" s="25">
        <v>3</v>
      </c>
      <c r="N223" s="24" t="e">
        <f>M223/L223</f>
        <v>#DIV/0!</v>
      </c>
      <c r="O223" s="23"/>
    </row>
    <row r="224" spans="1:15" x14ac:dyDescent="0.2">
      <c r="A224" s="4"/>
      <c r="B224" s="35" t="s">
        <v>570</v>
      </c>
      <c r="C224" s="2" t="s">
        <v>16</v>
      </c>
      <c r="D224" s="7">
        <f>2+5+3</f>
        <v>10</v>
      </c>
      <c r="E224" s="7"/>
      <c r="F224" s="17">
        <f>6+5+6+7+1+1</f>
        <v>26</v>
      </c>
      <c r="G224" s="17">
        <f>2+2+1+3+1</f>
        <v>9</v>
      </c>
      <c r="H224" s="17">
        <f>15+13+7+21</f>
        <v>56</v>
      </c>
      <c r="I224" s="16">
        <f>H224/(F224-G224)</f>
        <v>3.2941176470588234</v>
      </c>
      <c r="J224" s="17">
        <v>11</v>
      </c>
      <c r="K224" s="25">
        <f>9+20+19+59+3</f>
        <v>110</v>
      </c>
      <c r="L224" s="25">
        <f>2+4+3+11+2</f>
        <v>22</v>
      </c>
      <c r="M224" s="25">
        <f>17+75+37+159+12</f>
        <v>300</v>
      </c>
      <c r="N224" s="24">
        <f>M224/L224</f>
        <v>13.636363636363637</v>
      </c>
      <c r="O224" s="23"/>
    </row>
    <row r="225" spans="1:15" s="54" customFormat="1" x14ac:dyDescent="0.2">
      <c r="A225" s="4"/>
      <c r="B225" s="35" t="s">
        <v>571</v>
      </c>
      <c r="C225" s="2" t="s">
        <v>15</v>
      </c>
      <c r="D225" s="7">
        <f>4+7+4+4+1+2</f>
        <v>22</v>
      </c>
      <c r="E225" s="7"/>
      <c r="F225" s="17">
        <f>17+6+10+12+1+11+2</f>
        <v>59</v>
      </c>
      <c r="G225" s="17">
        <f>2+2+4+1+2+1</f>
        <v>12</v>
      </c>
      <c r="H225" s="17">
        <f>72+31+60+117+5+69+29</f>
        <v>383</v>
      </c>
      <c r="I225" s="16">
        <f>H225/(F225-G225)</f>
        <v>8.1489361702127656</v>
      </c>
      <c r="J225" s="17">
        <v>39</v>
      </c>
      <c r="K225" s="25">
        <f>16+47+51+63+12+130+18</f>
        <v>337</v>
      </c>
      <c r="L225" s="25">
        <f>3+7+8+23+2+33+1</f>
        <v>77</v>
      </c>
      <c r="M225" s="25">
        <f>44+138+126+246+17+323+25</f>
        <v>919</v>
      </c>
      <c r="N225" s="24">
        <f>M225/L225</f>
        <v>11.935064935064934</v>
      </c>
      <c r="O225" s="23"/>
    </row>
    <row r="226" spans="1:15" s="54" customFormat="1" x14ac:dyDescent="0.2">
      <c r="A226" s="4"/>
      <c r="B226" s="35" t="s">
        <v>572</v>
      </c>
      <c r="C226" s="2" t="s">
        <v>9</v>
      </c>
      <c r="D226" s="7">
        <f>1+2+2+6+2</f>
        <v>13</v>
      </c>
      <c r="E226" s="7"/>
      <c r="F226" s="17">
        <f>14+7+13+11+2</f>
        <v>47</v>
      </c>
      <c r="G226" s="17">
        <f>6+2+2</f>
        <v>10</v>
      </c>
      <c r="H226" s="17">
        <f>17+16+62+46+1+2</f>
        <v>144</v>
      </c>
      <c r="I226" s="16">
        <f>H226/(F226-G226)</f>
        <v>3.8918918918918921</v>
      </c>
      <c r="J226" s="17">
        <v>19</v>
      </c>
      <c r="K226" s="25">
        <f>16+6+15+21+2+37+2</f>
        <v>99</v>
      </c>
      <c r="L226" s="25">
        <f>3+2+2+6+14</f>
        <v>27</v>
      </c>
      <c r="M226" s="25">
        <f>44+28+31+53+5+64+5</f>
        <v>230</v>
      </c>
      <c r="N226" s="24">
        <f>M226/L226</f>
        <v>8.518518518518519</v>
      </c>
      <c r="O226" s="23"/>
    </row>
    <row r="227" spans="1:15" x14ac:dyDescent="0.2">
      <c r="A227" s="4">
        <v>2243469</v>
      </c>
      <c r="B227" s="35" t="s">
        <v>2627</v>
      </c>
      <c r="C227" s="2" t="s">
        <v>2105</v>
      </c>
      <c r="D227" s="7">
        <v>1</v>
      </c>
      <c r="E227" s="7">
        <v>0</v>
      </c>
      <c r="F227" s="17">
        <v>4</v>
      </c>
      <c r="G227" s="17">
        <v>1</v>
      </c>
      <c r="H227" s="17">
        <v>17</v>
      </c>
      <c r="I227" s="16">
        <f>H227/(F227-G227)</f>
        <v>5.666666666666667</v>
      </c>
      <c r="J227" s="17">
        <v>15</v>
      </c>
      <c r="K227" s="25">
        <v>10</v>
      </c>
      <c r="L227" s="25">
        <v>2</v>
      </c>
      <c r="M227" s="25">
        <v>36</v>
      </c>
      <c r="N227" s="24">
        <f>M227/L227</f>
        <v>18</v>
      </c>
      <c r="O227" s="49" t="s">
        <v>1379</v>
      </c>
    </row>
    <row r="228" spans="1:15" x14ac:dyDescent="0.2">
      <c r="A228" s="4"/>
      <c r="B228" s="34" t="s">
        <v>573</v>
      </c>
      <c r="C228" s="2" t="s">
        <v>97</v>
      </c>
      <c r="D228" s="8">
        <v>15</v>
      </c>
      <c r="E228" s="7">
        <v>2</v>
      </c>
      <c r="F228" s="17">
        <f>12+14</f>
        <v>26</v>
      </c>
      <c r="G228" s="17">
        <f>1+2</f>
        <v>3</v>
      </c>
      <c r="H228" s="17">
        <f>90+182</f>
        <v>272</v>
      </c>
      <c r="I228" s="16">
        <f>H228/(F228-G228)</f>
        <v>11.826086956521738</v>
      </c>
      <c r="J228" s="17">
        <v>35</v>
      </c>
      <c r="K228" s="25">
        <f>20+34</f>
        <v>54</v>
      </c>
      <c r="L228" s="25">
        <f>5+6</f>
        <v>11</v>
      </c>
      <c r="M228" s="25">
        <f>36+111</f>
        <v>147</v>
      </c>
      <c r="N228" s="24">
        <f>M228/L228</f>
        <v>13.363636363636363</v>
      </c>
      <c r="O228" s="23"/>
    </row>
    <row r="229" spans="1:15" s="54" customFormat="1" x14ac:dyDescent="0.2">
      <c r="A229" s="4"/>
      <c r="B229" s="34" t="s">
        <v>574</v>
      </c>
      <c r="C229" s="2" t="s">
        <v>174</v>
      </c>
      <c r="D229" s="7">
        <v>2</v>
      </c>
      <c r="E229" s="7"/>
      <c r="F229" s="17">
        <v>13</v>
      </c>
      <c r="G229" s="17">
        <v>1</v>
      </c>
      <c r="H229" s="17">
        <v>83</v>
      </c>
      <c r="I229" s="16">
        <f>H229/(F229-G229)</f>
        <v>6.916666666666667</v>
      </c>
      <c r="J229" s="17">
        <v>18</v>
      </c>
      <c r="K229" s="25">
        <v>30</v>
      </c>
      <c r="L229" s="25">
        <v>8</v>
      </c>
      <c r="M229" s="25">
        <v>148</v>
      </c>
      <c r="N229" s="24">
        <f>M229/L229</f>
        <v>18.5</v>
      </c>
      <c r="O229" s="23"/>
    </row>
    <row r="230" spans="1:15" s="54" customFormat="1" x14ac:dyDescent="0.2">
      <c r="A230" s="4">
        <v>863192</v>
      </c>
      <c r="B230" s="35" t="s">
        <v>2074</v>
      </c>
      <c r="C230" s="2" t="s">
        <v>2075</v>
      </c>
      <c r="D230" s="7">
        <f>0</f>
        <v>0</v>
      </c>
      <c r="E230" s="7"/>
      <c r="F230" s="17">
        <f>5</f>
        <v>5</v>
      </c>
      <c r="G230" s="17">
        <f>0</f>
        <v>0</v>
      </c>
      <c r="H230" s="17">
        <f>56</f>
        <v>56</v>
      </c>
      <c r="I230" s="16">
        <f>H230/(F230-G230)</f>
        <v>11.2</v>
      </c>
      <c r="J230" s="17">
        <v>31</v>
      </c>
      <c r="K230" s="25">
        <f>7</f>
        <v>7</v>
      </c>
      <c r="L230" s="25">
        <f>4</f>
        <v>4</v>
      </c>
      <c r="M230" s="25">
        <f>33</f>
        <v>33</v>
      </c>
      <c r="N230" s="24">
        <f>M230/L230</f>
        <v>8.25</v>
      </c>
      <c r="O230" s="49" t="s">
        <v>1468</v>
      </c>
    </row>
    <row r="231" spans="1:15" s="54" customFormat="1" x14ac:dyDescent="0.2">
      <c r="A231" s="4"/>
      <c r="B231" s="35" t="s">
        <v>576</v>
      </c>
      <c r="C231" s="2" t="s">
        <v>87</v>
      </c>
      <c r="D231" s="7">
        <f>1+8+2+5+7+1+3+1+1</f>
        <v>29</v>
      </c>
      <c r="E231" s="7"/>
      <c r="F231" s="17">
        <f>12+9+10+2+11+1+12+1+12+1</f>
        <v>71</v>
      </c>
      <c r="G231" s="17">
        <f>2+3+3+4+2</f>
        <v>14</v>
      </c>
      <c r="H231" s="17">
        <f>72+114+231+7+172+164+145+20</f>
        <v>925</v>
      </c>
      <c r="I231" s="16">
        <f>H231/(F231-G231)</f>
        <v>16.228070175438596</v>
      </c>
      <c r="J231" s="17">
        <v>62</v>
      </c>
      <c r="K231" s="25">
        <f>57+52+57+3+4+39+9+47+26+2</f>
        <v>296</v>
      </c>
      <c r="L231" s="25">
        <f>8+18+17+1+11+1+8+2</f>
        <v>66</v>
      </c>
      <c r="M231" s="25">
        <f>129+125+152+11+39+133+19+158+79+3</f>
        <v>848</v>
      </c>
      <c r="N231" s="24">
        <f>M231/L231</f>
        <v>12.848484848484848</v>
      </c>
      <c r="O231" s="23"/>
    </row>
    <row r="232" spans="1:15" x14ac:dyDescent="0.2">
      <c r="A232" s="4"/>
      <c r="B232" s="35" t="s">
        <v>575</v>
      </c>
      <c r="C232" s="2" t="s">
        <v>34</v>
      </c>
      <c r="D232" s="7">
        <f>12+10+1+1+5+1+1</f>
        <v>31</v>
      </c>
      <c r="E232" s="7"/>
      <c r="F232" s="17">
        <f>10+14+1+11+1+2+2+3+9+2+1</f>
        <v>56</v>
      </c>
      <c r="G232" s="17">
        <f>3+4+2+2</f>
        <v>11</v>
      </c>
      <c r="H232" s="17">
        <f>219+479+12+372+7+18+37+39+137+7+1</f>
        <v>1328</v>
      </c>
      <c r="I232" s="16">
        <f>H232/(F232-G232)</f>
        <v>29.511111111111113</v>
      </c>
      <c r="J232" s="17" t="s">
        <v>403</v>
      </c>
      <c r="K232" s="25">
        <f>48+106+63+6+27+6+5</f>
        <v>261</v>
      </c>
      <c r="L232" s="25">
        <f>7+23+9+3+10+2+1</f>
        <v>55</v>
      </c>
      <c r="M232" s="25">
        <f>145+172+240+11+75+22+30</f>
        <v>695</v>
      </c>
      <c r="N232" s="24">
        <f>M232/L232</f>
        <v>12.636363636363637</v>
      </c>
      <c r="O232" s="23"/>
    </row>
    <row r="233" spans="1:15" x14ac:dyDescent="0.2">
      <c r="A233" s="64"/>
      <c r="B233" s="65" t="s">
        <v>2678</v>
      </c>
      <c r="C233" s="58" t="s">
        <v>2679</v>
      </c>
      <c r="D233" s="59">
        <v>1</v>
      </c>
      <c r="E233" s="59"/>
      <c r="F233" s="60">
        <v>4</v>
      </c>
      <c r="G233" s="60">
        <v>1</v>
      </c>
      <c r="H233" s="60">
        <v>4</v>
      </c>
      <c r="I233" s="61">
        <f>H233/(F233-G233)</f>
        <v>1.3333333333333333</v>
      </c>
      <c r="J233" s="60" t="s">
        <v>1346</v>
      </c>
      <c r="K233" s="62">
        <v>1</v>
      </c>
      <c r="L233" s="62">
        <v>0</v>
      </c>
      <c r="M233" s="62">
        <v>7</v>
      </c>
      <c r="N233" s="63" t="e">
        <f>M233/L233</f>
        <v>#DIV/0!</v>
      </c>
      <c r="O233" s="66" t="s">
        <v>2455</v>
      </c>
    </row>
    <row r="234" spans="1:15" s="54" customFormat="1" x14ac:dyDescent="0.2">
      <c r="A234" s="4">
        <v>1862747</v>
      </c>
      <c r="B234" s="35" t="s">
        <v>2076</v>
      </c>
      <c r="C234" s="2" t="s">
        <v>2077</v>
      </c>
      <c r="D234" s="7">
        <f>0</f>
        <v>0</v>
      </c>
      <c r="E234" s="7"/>
      <c r="F234" s="17">
        <f>2</f>
        <v>2</v>
      </c>
      <c r="G234" s="17">
        <f>1</f>
        <v>1</v>
      </c>
      <c r="H234" s="17">
        <f>23</f>
        <v>23</v>
      </c>
      <c r="I234" s="16">
        <f>H234/(F234-G234)</f>
        <v>23</v>
      </c>
      <c r="J234" s="17" t="s">
        <v>442</v>
      </c>
      <c r="K234" s="25"/>
      <c r="L234" s="25"/>
      <c r="M234" s="25"/>
      <c r="N234" s="24" t="e">
        <f>M234/L234</f>
        <v>#DIV/0!</v>
      </c>
      <c r="O234" s="23"/>
    </row>
    <row r="235" spans="1:15" x14ac:dyDescent="0.2">
      <c r="A235" s="4">
        <v>1835713</v>
      </c>
      <c r="B235" s="35" t="s">
        <v>1842</v>
      </c>
      <c r="C235" s="2" t="s">
        <v>73</v>
      </c>
      <c r="D235" s="7">
        <f>0</f>
        <v>0</v>
      </c>
      <c r="E235" s="7">
        <f>0</f>
        <v>0</v>
      </c>
      <c r="F235" s="17">
        <f>4</f>
        <v>4</v>
      </c>
      <c r="G235" s="17">
        <f>0</f>
        <v>0</v>
      </c>
      <c r="H235" s="17">
        <f>7</f>
        <v>7</v>
      </c>
      <c r="I235" s="16">
        <f>H235/(F235-G235)</f>
        <v>1.75</v>
      </c>
      <c r="J235" s="17">
        <v>5</v>
      </c>
      <c r="K235" s="25"/>
      <c r="L235" s="25"/>
      <c r="M235" s="25"/>
      <c r="N235" s="24" t="e">
        <f>M235/L235</f>
        <v>#DIV/0!</v>
      </c>
      <c r="O235" s="23"/>
    </row>
    <row r="236" spans="1:15" x14ac:dyDescent="0.2">
      <c r="A236" s="4"/>
      <c r="B236" s="34" t="s">
        <v>578</v>
      </c>
      <c r="C236" s="2" t="s">
        <v>240</v>
      </c>
      <c r="D236" s="7">
        <f>6</f>
        <v>6</v>
      </c>
      <c r="E236" s="7"/>
      <c r="F236" s="17">
        <f>6</f>
        <v>6</v>
      </c>
      <c r="G236" s="17">
        <f>4</f>
        <v>4</v>
      </c>
      <c r="H236" s="17">
        <v>21</v>
      </c>
      <c r="I236" s="16">
        <f>H236/(F236-G236)</f>
        <v>10.5</v>
      </c>
      <c r="J236" s="17" t="s">
        <v>366</v>
      </c>
      <c r="K236" s="25">
        <f>114</f>
        <v>114</v>
      </c>
      <c r="L236" s="25">
        <f>33</f>
        <v>33</v>
      </c>
      <c r="M236" s="25">
        <f>338</f>
        <v>338</v>
      </c>
      <c r="N236" s="24">
        <f>M236/L236</f>
        <v>10.242424242424242</v>
      </c>
      <c r="O236" s="23"/>
    </row>
    <row r="237" spans="1:15" s="5" customFormat="1" x14ac:dyDescent="0.2">
      <c r="A237" s="4"/>
      <c r="B237" s="35" t="s">
        <v>577</v>
      </c>
      <c r="C237" s="2" t="s">
        <v>26</v>
      </c>
      <c r="D237" s="7"/>
      <c r="E237" s="7"/>
      <c r="F237" s="17">
        <v>8</v>
      </c>
      <c r="G237" s="17">
        <v>2</v>
      </c>
      <c r="H237" s="17">
        <v>38</v>
      </c>
      <c r="I237" s="16">
        <f>H237/(F237-G237)</f>
        <v>6.333333333333333</v>
      </c>
      <c r="J237" s="17">
        <v>22</v>
      </c>
      <c r="K237" s="25">
        <v>73</v>
      </c>
      <c r="L237" s="25">
        <v>7</v>
      </c>
      <c r="M237" s="25">
        <v>151</v>
      </c>
      <c r="N237" s="24">
        <f>M237/L237</f>
        <v>21.571428571428573</v>
      </c>
      <c r="O237" s="23"/>
    </row>
    <row r="238" spans="1:15" s="54" customFormat="1" x14ac:dyDescent="0.2">
      <c r="A238" s="4"/>
      <c r="B238" s="35" t="s">
        <v>579</v>
      </c>
      <c r="C238" s="2" t="s">
        <v>70</v>
      </c>
      <c r="D238" s="7">
        <v>1</v>
      </c>
      <c r="E238" s="7"/>
      <c r="F238" s="17">
        <v>5</v>
      </c>
      <c r="G238" s="17"/>
      <c r="H238" s="17">
        <v>19</v>
      </c>
      <c r="I238" s="16">
        <f>H238/(F238-G238)</f>
        <v>3.8</v>
      </c>
      <c r="J238" s="17">
        <v>11</v>
      </c>
      <c r="K238" s="25">
        <v>25</v>
      </c>
      <c r="L238" s="25">
        <v>4</v>
      </c>
      <c r="M238" s="25">
        <v>59</v>
      </c>
      <c r="N238" s="24">
        <f>M238/L238</f>
        <v>14.75</v>
      </c>
      <c r="O238" s="23"/>
    </row>
    <row r="239" spans="1:15" s="54" customFormat="1" x14ac:dyDescent="0.2">
      <c r="A239" s="84">
        <v>659846</v>
      </c>
      <c r="B239" s="35" t="s">
        <v>1672</v>
      </c>
      <c r="C239" s="2" t="s">
        <v>1555</v>
      </c>
      <c r="D239" s="7">
        <f>0+0+0</f>
        <v>0</v>
      </c>
      <c r="E239" s="7">
        <f>0</f>
        <v>0</v>
      </c>
      <c r="F239" s="17">
        <f>8+12+11</f>
        <v>31</v>
      </c>
      <c r="G239" s="17">
        <f>1+1+3</f>
        <v>5</v>
      </c>
      <c r="H239" s="17">
        <f>80+105+86</f>
        <v>271</v>
      </c>
      <c r="I239" s="16">
        <f>H239/(F239-G239)</f>
        <v>10.423076923076923</v>
      </c>
      <c r="J239" s="17" t="s">
        <v>446</v>
      </c>
      <c r="K239" s="25">
        <f>47+139+62</f>
        <v>248</v>
      </c>
      <c r="L239" s="25">
        <f>14+30+16</f>
        <v>60</v>
      </c>
      <c r="M239" s="25">
        <f>232+620+398</f>
        <v>1250</v>
      </c>
      <c r="N239" s="24">
        <f>M239/L239</f>
        <v>20.833333333333332</v>
      </c>
      <c r="O239" s="49" t="s">
        <v>1504</v>
      </c>
    </row>
    <row r="240" spans="1:15" s="54" customFormat="1" x14ac:dyDescent="0.2">
      <c r="A240" s="84">
        <v>731363</v>
      </c>
      <c r="B240" s="35" t="s">
        <v>1673</v>
      </c>
      <c r="C240" s="2" t="s">
        <v>1674</v>
      </c>
      <c r="D240" s="7">
        <f>0+0+0</f>
        <v>0</v>
      </c>
      <c r="E240" s="7">
        <f>0</f>
        <v>0</v>
      </c>
      <c r="F240" s="17">
        <f>6+4+6</f>
        <v>16</v>
      </c>
      <c r="G240" s="17">
        <f>1+0+0</f>
        <v>1</v>
      </c>
      <c r="H240" s="17">
        <f>133+87+148</f>
        <v>368</v>
      </c>
      <c r="I240" s="16">
        <f>H240/(F240-G240)</f>
        <v>24.533333333333335</v>
      </c>
      <c r="J240" s="17">
        <v>69</v>
      </c>
      <c r="K240" s="25">
        <f>23.4+15+17</f>
        <v>55.4</v>
      </c>
      <c r="L240" s="25">
        <f>6+1+2</f>
        <v>9</v>
      </c>
      <c r="M240" s="25">
        <f>124+48+75</f>
        <v>247</v>
      </c>
      <c r="N240" s="24">
        <f>M240/L240</f>
        <v>27.444444444444443</v>
      </c>
      <c r="O240" s="49" t="s">
        <v>1787</v>
      </c>
    </row>
    <row r="241" spans="1:15" s="5" customFormat="1" x14ac:dyDescent="0.2">
      <c r="A241" s="57">
        <v>1764776</v>
      </c>
      <c r="B241" s="65" t="s">
        <v>1843</v>
      </c>
      <c r="C241" s="58" t="s">
        <v>1844</v>
      </c>
      <c r="D241" s="59">
        <f>1+1+0+2</f>
        <v>4</v>
      </c>
      <c r="E241" s="59">
        <f>0+0</f>
        <v>0</v>
      </c>
      <c r="F241" s="60">
        <f>12+9+3+13+10</f>
        <v>47</v>
      </c>
      <c r="G241" s="60">
        <f>0+0+1+2+1</f>
        <v>4</v>
      </c>
      <c r="H241" s="60">
        <f>134+130+28+102+106</f>
        <v>500</v>
      </c>
      <c r="I241" s="61">
        <f>H241/(F241-G241)</f>
        <v>11.627906976744185</v>
      </c>
      <c r="J241" s="60">
        <v>61</v>
      </c>
      <c r="K241" s="62">
        <f>60+43.1+3+12+20</f>
        <v>138.1</v>
      </c>
      <c r="L241" s="62">
        <f>13+18+0+4+5</f>
        <v>40</v>
      </c>
      <c r="M241" s="62">
        <f>216+131+38+53+49</f>
        <v>487</v>
      </c>
      <c r="N241" s="63">
        <f>M241/L241</f>
        <v>12.175000000000001</v>
      </c>
      <c r="O241" s="66" t="s">
        <v>1505</v>
      </c>
    </row>
    <row r="242" spans="1:15" s="54" customFormat="1" x14ac:dyDescent="0.2">
      <c r="A242" s="84">
        <v>1740749</v>
      </c>
      <c r="B242" s="74" t="s">
        <v>1675</v>
      </c>
      <c r="C242" s="2" t="s">
        <v>2259</v>
      </c>
      <c r="D242" s="7">
        <f>0+1+8+3</f>
        <v>12</v>
      </c>
      <c r="E242" s="7">
        <f>0</f>
        <v>0</v>
      </c>
      <c r="F242" s="17">
        <f>1+11+7</f>
        <v>19</v>
      </c>
      <c r="G242" s="17">
        <f>0+0+1</f>
        <v>1</v>
      </c>
      <c r="H242" s="17">
        <f>157+205+129</f>
        <v>491</v>
      </c>
      <c r="I242" s="16">
        <f>H242/(F242-G242)</f>
        <v>27.277777777777779</v>
      </c>
      <c r="J242" s="17">
        <v>157</v>
      </c>
      <c r="K242" s="25">
        <f>2+6+8</f>
        <v>16</v>
      </c>
      <c r="L242" s="25">
        <f>0+1+1</f>
        <v>2</v>
      </c>
      <c r="M242" s="25">
        <f>8+44+28</f>
        <v>80</v>
      </c>
      <c r="N242" s="24">
        <f>M242/L242</f>
        <v>40</v>
      </c>
      <c r="O242" s="49" t="s">
        <v>2263</v>
      </c>
    </row>
    <row r="243" spans="1:15" s="5" customFormat="1" x14ac:dyDescent="0.2">
      <c r="A243" s="4"/>
      <c r="B243" s="35" t="s">
        <v>249</v>
      </c>
      <c r="C243" s="2" t="s">
        <v>250</v>
      </c>
      <c r="D243" s="7">
        <f>2+2+0</f>
        <v>4</v>
      </c>
      <c r="E243" s="7"/>
      <c r="F243" s="17">
        <f>6+5+0</f>
        <v>11</v>
      </c>
      <c r="G243" s="17">
        <f>0+1+0</f>
        <v>1</v>
      </c>
      <c r="H243" s="17">
        <f>6+8+0</f>
        <v>14</v>
      </c>
      <c r="I243" s="16">
        <f>H243/(F243-G243)</f>
        <v>1.4</v>
      </c>
      <c r="J243" s="17">
        <f>6</f>
        <v>6</v>
      </c>
      <c r="K243" s="25">
        <f>14+30+6</f>
        <v>50</v>
      </c>
      <c r="L243" s="25">
        <f>1+5+0</f>
        <v>6</v>
      </c>
      <c r="M243" s="25">
        <f>44+95+23</f>
        <v>162</v>
      </c>
      <c r="N243" s="24">
        <f>M243/L243</f>
        <v>27</v>
      </c>
      <c r="O243" s="23"/>
    </row>
    <row r="244" spans="1:15" s="54" customFormat="1" x14ac:dyDescent="0.2">
      <c r="A244" s="4">
        <v>666446</v>
      </c>
      <c r="B244" s="55" t="s">
        <v>1526</v>
      </c>
      <c r="C244" s="2" t="s">
        <v>101</v>
      </c>
      <c r="D244" s="7">
        <f>12+4+5+2</f>
        <v>23</v>
      </c>
      <c r="E244" s="7">
        <f>0+1</f>
        <v>1</v>
      </c>
      <c r="F244" s="17">
        <f>11+13+9+11</f>
        <v>44</v>
      </c>
      <c r="G244" s="17">
        <f>3+1+0+0</f>
        <v>4</v>
      </c>
      <c r="H244" s="17">
        <f>479+308+119+158</f>
        <v>1064</v>
      </c>
      <c r="I244" s="16">
        <f>H244/(F244-G244)</f>
        <v>26.6</v>
      </c>
      <c r="J244" s="17">
        <v>85</v>
      </c>
      <c r="K244" s="25">
        <f>156+156.5+118+64.3+(0.4)</f>
        <v>495.2</v>
      </c>
      <c r="L244" s="25">
        <f>26+45+28+11</f>
        <v>110</v>
      </c>
      <c r="M244" s="25">
        <f>539+388+283+245</f>
        <v>1455</v>
      </c>
      <c r="N244" s="24">
        <f>M244/L244</f>
        <v>13.227272727272727</v>
      </c>
      <c r="O244" s="49" t="s">
        <v>1788</v>
      </c>
    </row>
    <row r="245" spans="1:15" s="54" customFormat="1" x14ac:dyDescent="0.2">
      <c r="A245" s="4"/>
      <c r="B245" s="35" t="s">
        <v>580</v>
      </c>
      <c r="C245" s="2" t="s">
        <v>15</v>
      </c>
      <c r="D245" s="7">
        <v>0</v>
      </c>
      <c r="E245" s="7"/>
      <c r="F245" s="17">
        <v>15</v>
      </c>
      <c r="G245" s="17">
        <v>5</v>
      </c>
      <c r="H245" s="94">
        <v>0</v>
      </c>
      <c r="I245" s="16">
        <f>H245/(F245-G245)</f>
        <v>0</v>
      </c>
      <c r="J245" s="17"/>
      <c r="K245" s="25">
        <v>17</v>
      </c>
      <c r="L245" s="25">
        <v>0</v>
      </c>
      <c r="M245" s="25">
        <v>67</v>
      </c>
      <c r="N245" s="24" t="e">
        <f>M245/L245</f>
        <v>#DIV/0!</v>
      </c>
      <c r="O245" s="23"/>
    </row>
    <row r="246" spans="1:15" s="54" customFormat="1" x14ac:dyDescent="0.2">
      <c r="A246" s="4"/>
      <c r="B246" s="35" t="s">
        <v>581</v>
      </c>
      <c r="C246" s="2" t="s">
        <v>20</v>
      </c>
      <c r="D246" s="7">
        <v>13</v>
      </c>
      <c r="E246" s="7"/>
      <c r="F246" s="17">
        <v>20</v>
      </c>
      <c r="G246" s="17">
        <v>3</v>
      </c>
      <c r="H246" s="17">
        <v>387</v>
      </c>
      <c r="I246" s="16">
        <f>H246/(F246-G246)</f>
        <v>22.764705882352942</v>
      </c>
      <c r="J246" s="17">
        <v>50</v>
      </c>
      <c r="K246" s="25">
        <v>6</v>
      </c>
      <c r="L246" s="25">
        <v>2</v>
      </c>
      <c r="M246" s="25">
        <v>30</v>
      </c>
      <c r="N246" s="24">
        <f>M246/L246</f>
        <v>15</v>
      </c>
      <c r="O246" s="23"/>
    </row>
    <row r="247" spans="1:15" s="54" customFormat="1" x14ac:dyDescent="0.2">
      <c r="A247" s="4"/>
      <c r="B247" s="35" t="s">
        <v>582</v>
      </c>
      <c r="C247" s="2" t="s">
        <v>15</v>
      </c>
      <c r="D247" s="7">
        <v>24</v>
      </c>
      <c r="E247" s="7"/>
      <c r="F247" s="17">
        <f>45</f>
        <v>45</v>
      </c>
      <c r="G247" s="17">
        <f>8</f>
        <v>8</v>
      </c>
      <c r="H247" s="17">
        <v>1245</v>
      </c>
      <c r="I247" s="16">
        <f>H247/(F247-G247)</f>
        <v>33.648648648648646</v>
      </c>
      <c r="J247" s="17">
        <v>90</v>
      </c>
      <c r="K247" s="25">
        <v>206</v>
      </c>
      <c r="L247" s="25">
        <v>33</v>
      </c>
      <c r="M247" s="25">
        <v>653</v>
      </c>
      <c r="N247" s="24">
        <f>M247/L247</f>
        <v>19.787878787878789</v>
      </c>
      <c r="O247" s="23"/>
    </row>
    <row r="248" spans="1:15" s="54" customFormat="1" x14ac:dyDescent="0.2">
      <c r="A248" s="4"/>
      <c r="B248" s="35" t="s">
        <v>583</v>
      </c>
      <c r="C248" s="2" t="s">
        <v>14</v>
      </c>
      <c r="D248" s="7">
        <v>0</v>
      </c>
      <c r="E248" s="7"/>
      <c r="F248" s="17">
        <v>4</v>
      </c>
      <c r="G248" s="17">
        <v>0</v>
      </c>
      <c r="H248" s="17">
        <v>19</v>
      </c>
      <c r="I248" s="16">
        <f>H248/(F248-G248)</f>
        <v>4.75</v>
      </c>
      <c r="J248" s="17">
        <v>7</v>
      </c>
      <c r="K248" s="25">
        <v>7</v>
      </c>
      <c r="L248" s="25">
        <v>0</v>
      </c>
      <c r="M248" s="25">
        <v>22</v>
      </c>
      <c r="N248" s="24" t="e">
        <f>M248/L248</f>
        <v>#DIV/0!</v>
      </c>
      <c r="O248" s="23"/>
    </row>
    <row r="249" spans="1:15" s="54" customFormat="1" x14ac:dyDescent="0.2">
      <c r="A249" s="4"/>
      <c r="B249" s="35" t="s">
        <v>584</v>
      </c>
      <c r="C249" s="2" t="s">
        <v>26</v>
      </c>
      <c r="D249" s="7">
        <v>0</v>
      </c>
      <c r="E249" s="7"/>
      <c r="F249" s="17">
        <f>12+9</f>
        <v>21</v>
      </c>
      <c r="G249" s="17">
        <v>1</v>
      </c>
      <c r="H249" s="17">
        <f>77+16</f>
        <v>93</v>
      </c>
      <c r="I249" s="16">
        <f>H249/(F249-G249)</f>
        <v>4.6500000000000004</v>
      </c>
      <c r="J249" s="17">
        <v>27</v>
      </c>
      <c r="K249" s="25">
        <f>2+3</f>
        <v>5</v>
      </c>
      <c r="L249" s="25">
        <v>1</v>
      </c>
      <c r="M249" s="25">
        <f>4+21</f>
        <v>25</v>
      </c>
      <c r="N249" s="24">
        <f>M249/L249</f>
        <v>25</v>
      </c>
      <c r="O249" s="23"/>
    </row>
    <row r="250" spans="1:15" s="54" customFormat="1" x14ac:dyDescent="0.2">
      <c r="A250" s="4"/>
      <c r="B250" s="35" t="s">
        <v>585</v>
      </c>
      <c r="C250" s="2" t="s">
        <v>183</v>
      </c>
      <c r="D250" s="7">
        <f>11+8</f>
        <v>19</v>
      </c>
      <c r="E250" s="7"/>
      <c r="F250" s="17">
        <f>10+13</f>
        <v>23</v>
      </c>
      <c r="G250" s="17">
        <f>3+1</f>
        <v>4</v>
      </c>
      <c r="H250" s="17">
        <f>230+110</f>
        <v>340</v>
      </c>
      <c r="I250" s="16">
        <f>H250/(F250-G250)</f>
        <v>17.894736842105264</v>
      </c>
      <c r="J250" s="17">
        <v>60</v>
      </c>
      <c r="K250" s="25"/>
      <c r="L250" s="25"/>
      <c r="M250" s="25"/>
      <c r="N250" s="24" t="e">
        <f>M250/L250</f>
        <v>#DIV/0!</v>
      </c>
      <c r="O250" s="23"/>
    </row>
    <row r="251" spans="1:15" s="54" customFormat="1" x14ac:dyDescent="0.2">
      <c r="A251" s="4">
        <v>1046430</v>
      </c>
      <c r="B251" s="34" t="s">
        <v>1327</v>
      </c>
      <c r="C251" s="2"/>
      <c r="D251" s="7">
        <f>1</f>
        <v>1</v>
      </c>
      <c r="E251" s="7">
        <f>0</f>
        <v>0</v>
      </c>
      <c r="F251" s="17">
        <f>10</f>
        <v>10</v>
      </c>
      <c r="G251" s="17">
        <f>3</f>
        <v>3</v>
      </c>
      <c r="H251" s="17">
        <f>14</f>
        <v>14</v>
      </c>
      <c r="I251" s="17">
        <f>H251/(F251-G251)</f>
        <v>2</v>
      </c>
      <c r="J251" s="17" t="s">
        <v>414</v>
      </c>
      <c r="K251" s="44"/>
      <c r="L251" s="44"/>
      <c r="M251" s="25"/>
      <c r="N251" s="24" t="e">
        <f>M251/L251</f>
        <v>#DIV/0!</v>
      </c>
      <c r="O251" s="23"/>
    </row>
    <row r="252" spans="1:15" x14ac:dyDescent="0.2">
      <c r="A252" s="57">
        <v>681683</v>
      </c>
      <c r="B252" s="65" t="s">
        <v>2078</v>
      </c>
      <c r="C252" s="58" t="s">
        <v>67</v>
      </c>
      <c r="D252" s="59">
        <f>4+1+1+5+0+2+0+2+2+1+1</f>
        <v>19</v>
      </c>
      <c r="E252" s="59">
        <f>0+0</f>
        <v>0</v>
      </c>
      <c r="F252" s="60">
        <f>12+12+11+9+2+10+8+13+10+3+2+6</f>
        <v>98</v>
      </c>
      <c r="G252" s="60">
        <f>5+3+1+3+0+2+1+3+4+2+2+1</f>
        <v>27</v>
      </c>
      <c r="H252" s="60">
        <f>10+19+19+25+1+28+33+21+7+3+3+10</f>
        <v>179</v>
      </c>
      <c r="I252" s="61">
        <f>H252/(F252-G252)</f>
        <v>2.5211267605633805</v>
      </c>
      <c r="J252" s="60">
        <v>14</v>
      </c>
      <c r="K252" s="62">
        <f>37+23+28+17+0+19+11+52.3+92+51.3+0.4+47</f>
        <v>378</v>
      </c>
      <c r="L252" s="62">
        <f>11+5+11+6+0+4+3+6+27+6+13</f>
        <v>92</v>
      </c>
      <c r="M252" s="62">
        <f>64+104+49+83+0+77+217+180+240+179+150</f>
        <v>1343</v>
      </c>
      <c r="N252" s="63">
        <f>M252/L252</f>
        <v>14.597826086956522</v>
      </c>
      <c r="O252" s="66" t="s">
        <v>2456</v>
      </c>
    </row>
    <row r="253" spans="1:15" s="5" customFormat="1" x14ac:dyDescent="0.2">
      <c r="A253" s="4">
        <v>686652</v>
      </c>
      <c r="B253" s="55" t="s">
        <v>1527</v>
      </c>
      <c r="C253" s="2" t="s">
        <v>1520</v>
      </c>
      <c r="D253" s="7">
        <f>0</f>
        <v>0</v>
      </c>
      <c r="E253" s="7">
        <f>0</f>
        <v>0</v>
      </c>
      <c r="F253" s="17">
        <f>1</f>
        <v>1</v>
      </c>
      <c r="G253" s="17">
        <f>0</f>
        <v>0</v>
      </c>
      <c r="H253" s="17">
        <f>8</f>
        <v>8</v>
      </c>
      <c r="I253" s="16">
        <f>H253/(F253-G253)</f>
        <v>8</v>
      </c>
      <c r="J253" s="17">
        <v>8</v>
      </c>
      <c r="K253" s="25">
        <f>3</f>
        <v>3</v>
      </c>
      <c r="L253" s="25">
        <f>0</f>
        <v>0</v>
      </c>
      <c r="M253" s="25">
        <f>12</f>
        <v>12</v>
      </c>
      <c r="N253" s="24" t="e">
        <f>M253/L253</f>
        <v>#DIV/0!</v>
      </c>
      <c r="O253" s="23"/>
    </row>
    <row r="254" spans="1:15" s="54" customFormat="1" x14ac:dyDescent="0.2">
      <c r="A254" s="4">
        <v>1490255</v>
      </c>
      <c r="B254" s="55" t="s">
        <v>2585</v>
      </c>
      <c r="C254" s="2" t="s">
        <v>1947</v>
      </c>
      <c r="D254" s="7">
        <v>0</v>
      </c>
      <c r="E254" s="7">
        <v>0</v>
      </c>
      <c r="F254" s="17">
        <v>4</v>
      </c>
      <c r="G254" s="17">
        <v>0</v>
      </c>
      <c r="H254" s="17">
        <v>27</v>
      </c>
      <c r="I254" s="16">
        <f>H254/(F254-G254)</f>
        <v>6.75</v>
      </c>
      <c r="J254" s="17">
        <v>19</v>
      </c>
      <c r="K254" s="25">
        <v>16</v>
      </c>
      <c r="L254" s="25">
        <v>2</v>
      </c>
      <c r="M254" s="25">
        <v>78</v>
      </c>
      <c r="N254" s="24">
        <f>M254/L254</f>
        <v>39</v>
      </c>
      <c r="O254" s="49" t="s">
        <v>1647</v>
      </c>
    </row>
    <row r="255" spans="1:15" s="54" customFormat="1" x14ac:dyDescent="0.2">
      <c r="A255" s="57">
        <v>2008628</v>
      </c>
      <c r="B255" s="82" t="s">
        <v>2644</v>
      </c>
      <c r="C255" s="58" t="s">
        <v>261</v>
      </c>
      <c r="D255" s="59">
        <f>1+2</f>
        <v>3</v>
      </c>
      <c r="E255" s="59">
        <v>0</v>
      </c>
      <c r="F255" s="60">
        <f>12+12</f>
        <v>24</v>
      </c>
      <c r="G255" s="60">
        <v>1</v>
      </c>
      <c r="H255" s="60">
        <f>497+338</f>
        <v>835</v>
      </c>
      <c r="I255" s="61">
        <f>H255/(F255-G255)</f>
        <v>36.304347826086953</v>
      </c>
      <c r="J255" s="60">
        <v>123</v>
      </c>
      <c r="K255" s="62">
        <f>50+41</f>
        <v>91</v>
      </c>
      <c r="L255" s="62">
        <f>17+6</f>
        <v>23</v>
      </c>
      <c r="M255" s="62">
        <f>169+174</f>
        <v>343</v>
      </c>
      <c r="N255" s="63">
        <f>M255/L255</f>
        <v>14.913043478260869</v>
      </c>
      <c r="O255" s="66" t="s">
        <v>2489</v>
      </c>
    </row>
    <row r="256" spans="1:15" x14ac:dyDescent="0.2">
      <c r="A256" s="84">
        <v>1615925</v>
      </c>
      <c r="B256" s="35" t="s">
        <v>1676</v>
      </c>
      <c r="C256" s="2"/>
      <c r="D256" s="7">
        <f>5+1</f>
        <v>6</v>
      </c>
      <c r="E256" s="7">
        <f>0</f>
        <v>0</v>
      </c>
      <c r="F256" s="17">
        <f>10+7</f>
        <v>17</v>
      </c>
      <c r="G256" s="17">
        <f>1+1</f>
        <v>2</v>
      </c>
      <c r="H256" s="17">
        <f>68+23</f>
        <v>91</v>
      </c>
      <c r="I256" s="16">
        <f>H256/(F256-G256)</f>
        <v>6.0666666666666664</v>
      </c>
      <c r="J256" s="17">
        <v>20</v>
      </c>
      <c r="K256" s="25">
        <f>121+62.3</f>
        <v>183.3</v>
      </c>
      <c r="L256" s="25">
        <f>24+12</f>
        <v>36</v>
      </c>
      <c r="M256" s="25">
        <f>341+230</f>
        <v>571</v>
      </c>
      <c r="N256" s="24">
        <f>M256/L256</f>
        <v>15.861111111111111</v>
      </c>
      <c r="O256" s="49" t="s">
        <v>1376</v>
      </c>
    </row>
    <row r="257" spans="1:15" x14ac:dyDescent="0.2">
      <c r="A257" s="4">
        <v>1054505</v>
      </c>
      <c r="B257" s="35" t="s">
        <v>2317</v>
      </c>
      <c r="C257" s="2" t="s">
        <v>2318</v>
      </c>
      <c r="D257" s="7">
        <f>2</f>
        <v>2</v>
      </c>
      <c r="E257" s="7">
        <f>0</f>
        <v>0</v>
      </c>
      <c r="F257" s="17">
        <f>4</f>
        <v>4</v>
      </c>
      <c r="G257" s="17">
        <f>1</f>
        <v>1</v>
      </c>
      <c r="H257" s="17">
        <f>12</f>
        <v>12</v>
      </c>
      <c r="I257" s="16">
        <f>H257/(F257-G257)</f>
        <v>4</v>
      </c>
      <c r="J257" s="17" t="s">
        <v>2447</v>
      </c>
      <c r="K257" s="25">
        <f>11</f>
        <v>11</v>
      </c>
      <c r="L257" s="25">
        <f>3</f>
        <v>3</v>
      </c>
      <c r="M257" s="25">
        <f>27</f>
        <v>27</v>
      </c>
      <c r="N257" s="24">
        <f>M257/L257</f>
        <v>9</v>
      </c>
      <c r="O257" s="49" t="s">
        <v>2020</v>
      </c>
    </row>
    <row r="258" spans="1:15" s="54" customFormat="1" x14ac:dyDescent="0.2">
      <c r="A258" s="84">
        <v>1472792</v>
      </c>
      <c r="B258" s="35" t="s">
        <v>1677</v>
      </c>
      <c r="C258" s="2" t="s">
        <v>1678</v>
      </c>
      <c r="D258" s="7">
        <f>0</f>
        <v>0</v>
      </c>
      <c r="E258" s="7">
        <f>0</f>
        <v>0</v>
      </c>
      <c r="F258" s="17">
        <f>2</f>
        <v>2</v>
      </c>
      <c r="G258" s="17">
        <f>1</f>
        <v>1</v>
      </c>
      <c r="H258" s="17">
        <f>81</f>
        <v>81</v>
      </c>
      <c r="I258" s="16">
        <f>H258/(F258-G258)</f>
        <v>81</v>
      </c>
      <c r="J258" s="17" t="s">
        <v>415</v>
      </c>
      <c r="K258" s="25"/>
      <c r="L258" s="25"/>
      <c r="M258" s="25"/>
      <c r="N258" s="24" t="e">
        <f>M258/L258</f>
        <v>#DIV/0!</v>
      </c>
      <c r="O258" s="23"/>
    </row>
    <row r="259" spans="1:15" s="54" customFormat="1" x14ac:dyDescent="0.2">
      <c r="A259" s="4"/>
      <c r="B259" s="34" t="s">
        <v>586</v>
      </c>
      <c r="C259" s="2" t="s">
        <v>85</v>
      </c>
      <c r="D259" s="7">
        <v>0</v>
      </c>
      <c r="E259" s="7"/>
      <c r="F259" s="17">
        <v>9</v>
      </c>
      <c r="G259" s="17">
        <v>1</v>
      </c>
      <c r="H259" s="17">
        <v>40</v>
      </c>
      <c r="I259" s="16">
        <f>H259/(F259-G259)</f>
        <v>5</v>
      </c>
      <c r="J259" s="17" t="s">
        <v>269</v>
      </c>
      <c r="K259" s="25">
        <v>8</v>
      </c>
      <c r="L259" s="25">
        <v>0</v>
      </c>
      <c r="M259" s="25">
        <v>19</v>
      </c>
      <c r="N259" s="24" t="e">
        <f>M259/L259</f>
        <v>#DIV/0!</v>
      </c>
      <c r="O259" s="23"/>
    </row>
    <row r="260" spans="1:15" s="54" customFormat="1" x14ac:dyDescent="0.2">
      <c r="A260" s="84">
        <v>703253</v>
      </c>
      <c r="B260" s="35" t="s">
        <v>1679</v>
      </c>
      <c r="C260" s="2" t="s">
        <v>1680</v>
      </c>
      <c r="D260" s="7">
        <f>3+0+0</f>
        <v>3</v>
      </c>
      <c r="E260" s="7">
        <f>0</f>
        <v>0</v>
      </c>
      <c r="F260" s="17">
        <f>5+2+5</f>
        <v>12</v>
      </c>
      <c r="G260" s="17">
        <f>1+0+1</f>
        <v>2</v>
      </c>
      <c r="H260" s="17">
        <f>47+29+60</f>
        <v>136</v>
      </c>
      <c r="I260" s="16">
        <f>H260/(F260-G260)</f>
        <v>13.6</v>
      </c>
      <c r="J260" s="17" t="s">
        <v>430</v>
      </c>
      <c r="K260" s="25">
        <f>75+6+25</f>
        <v>106</v>
      </c>
      <c r="L260" s="25">
        <f>15+1+5</f>
        <v>21</v>
      </c>
      <c r="M260" s="25">
        <f>192+26+81</f>
        <v>299</v>
      </c>
      <c r="N260" s="24">
        <f>M260/L260</f>
        <v>14.238095238095237</v>
      </c>
      <c r="O260" s="49" t="s">
        <v>1789</v>
      </c>
    </row>
    <row r="261" spans="1:15" s="54" customFormat="1" x14ac:dyDescent="0.2">
      <c r="A261" s="4"/>
      <c r="B261" s="35" t="s">
        <v>587</v>
      </c>
      <c r="C261" s="2" t="s">
        <v>27</v>
      </c>
      <c r="D261" s="7">
        <v>2</v>
      </c>
      <c r="E261" s="7"/>
      <c r="F261" s="17">
        <v>14</v>
      </c>
      <c r="G261" s="17">
        <v>4</v>
      </c>
      <c r="H261" s="17">
        <v>30</v>
      </c>
      <c r="I261" s="16">
        <f>H261/(F261-G261)</f>
        <v>3</v>
      </c>
      <c r="J261" s="17" t="s">
        <v>347</v>
      </c>
      <c r="K261" s="25">
        <v>14</v>
      </c>
      <c r="L261" s="25">
        <v>1</v>
      </c>
      <c r="M261" s="25">
        <v>92</v>
      </c>
      <c r="N261" s="24">
        <f>M261/L261</f>
        <v>92</v>
      </c>
      <c r="O261" s="23"/>
    </row>
    <row r="262" spans="1:15" x14ac:dyDescent="0.2">
      <c r="A262" s="4"/>
      <c r="B262" s="34" t="s">
        <v>588</v>
      </c>
      <c r="C262" s="2" t="s">
        <v>91</v>
      </c>
      <c r="D262" s="7">
        <f>0+0</f>
        <v>0</v>
      </c>
      <c r="E262" s="7"/>
      <c r="F262" s="17">
        <f>4</f>
        <v>4</v>
      </c>
      <c r="G262" s="17">
        <f>0</f>
        <v>0</v>
      </c>
      <c r="H262" s="17">
        <f>31</f>
        <v>31</v>
      </c>
      <c r="I262" s="16">
        <f>H262/(F262-G262)</f>
        <v>7.75</v>
      </c>
      <c r="J262" s="17">
        <v>14</v>
      </c>
      <c r="K262" s="25"/>
      <c r="L262" s="25"/>
      <c r="M262" s="25"/>
      <c r="N262" s="24" t="e">
        <f>M262/L262</f>
        <v>#DIV/0!</v>
      </c>
      <c r="O262" s="23"/>
    </row>
    <row r="263" spans="1:15" x14ac:dyDescent="0.2">
      <c r="A263" s="4">
        <v>682235</v>
      </c>
      <c r="B263" s="51" t="s">
        <v>1401</v>
      </c>
      <c r="C263" s="2" t="s">
        <v>1428</v>
      </c>
      <c r="D263" s="8">
        <f>22+3+0</f>
        <v>25</v>
      </c>
      <c r="E263" s="7">
        <f>1</f>
        <v>1</v>
      </c>
      <c r="F263" s="17">
        <f>7+12+5+3</f>
        <v>27</v>
      </c>
      <c r="G263" s="17">
        <f>0+5+4+1</f>
        <v>10</v>
      </c>
      <c r="H263" s="17">
        <f>25+17+1+17</f>
        <v>60</v>
      </c>
      <c r="I263" s="16">
        <f>H263/(F263-G263)</f>
        <v>3.5294117647058822</v>
      </c>
      <c r="J263" s="17">
        <f>12</f>
        <v>12</v>
      </c>
      <c r="K263" s="25">
        <f>2+2+2+4+4</f>
        <v>14</v>
      </c>
      <c r="L263" s="25">
        <f>0+1+0+0+1</f>
        <v>2</v>
      </c>
      <c r="M263" s="25">
        <f>17+10+9+17+27</f>
        <v>80</v>
      </c>
      <c r="N263" s="24">
        <f>M263/L263</f>
        <v>40</v>
      </c>
      <c r="O263" s="49" t="s">
        <v>1623</v>
      </c>
    </row>
    <row r="264" spans="1:15" s="6" customFormat="1" x14ac:dyDescent="0.2">
      <c r="A264" s="4"/>
      <c r="B264" s="2" t="s">
        <v>589</v>
      </c>
      <c r="C264" s="2" t="s">
        <v>136</v>
      </c>
      <c r="D264" s="7">
        <v>5</v>
      </c>
      <c r="E264" s="7"/>
      <c r="F264" s="17">
        <v>21</v>
      </c>
      <c r="G264" s="17">
        <v>6</v>
      </c>
      <c r="H264" s="17">
        <v>48</v>
      </c>
      <c r="I264" s="16">
        <f>H264/(F264-G264)</f>
        <v>3.2</v>
      </c>
      <c r="J264" s="17" t="s">
        <v>364</v>
      </c>
      <c r="K264" s="25">
        <v>5</v>
      </c>
      <c r="L264" s="25">
        <v>0</v>
      </c>
      <c r="M264" s="25">
        <v>24</v>
      </c>
      <c r="N264" s="24" t="e">
        <f>M264/L264</f>
        <v>#DIV/0!</v>
      </c>
      <c r="O264" s="23"/>
    </row>
    <row r="265" spans="1:15" s="5" customFormat="1" x14ac:dyDescent="0.2">
      <c r="A265" s="4">
        <v>802559</v>
      </c>
      <c r="B265" s="34" t="s">
        <v>592</v>
      </c>
      <c r="C265" s="2" t="s">
        <v>329</v>
      </c>
      <c r="D265" s="7">
        <f>28+5</f>
        <v>33</v>
      </c>
      <c r="E265" s="7">
        <f>4+0</f>
        <v>4</v>
      </c>
      <c r="F265" s="17">
        <f>7+3+1+1+15+4</f>
        <v>31</v>
      </c>
      <c r="G265" s="17">
        <f>0+0+0+0+1+0</f>
        <v>1</v>
      </c>
      <c r="H265" s="17">
        <f>57+11+0+2+229+71</f>
        <v>370</v>
      </c>
      <c r="I265" s="16">
        <f>H265/(F265-G265)</f>
        <v>12.333333333333334</v>
      </c>
      <c r="J265" s="17">
        <v>52</v>
      </c>
      <c r="K265" s="25">
        <f>1</f>
        <v>1</v>
      </c>
      <c r="L265" s="25">
        <f>0</f>
        <v>0</v>
      </c>
      <c r="M265" s="25">
        <f>8</f>
        <v>8</v>
      </c>
      <c r="N265" s="24" t="e">
        <f>M265/L265</f>
        <v>#DIV/0!</v>
      </c>
      <c r="O265" s="23"/>
    </row>
    <row r="266" spans="1:15" s="5" customFormat="1" x14ac:dyDescent="0.2">
      <c r="A266" s="4">
        <v>801504</v>
      </c>
      <c r="B266" s="35" t="s">
        <v>590</v>
      </c>
      <c r="C266" s="2" t="s">
        <v>66</v>
      </c>
      <c r="D266" s="7">
        <f>1+8+7+1+3+2+0+0+7+1+2+5+0+3</f>
        <v>40</v>
      </c>
      <c r="E266" s="7">
        <f>0</f>
        <v>0</v>
      </c>
      <c r="F266" s="17">
        <f>12+12+10+3+12+7+1+1+10+1+1+8+1+8</f>
        <v>87</v>
      </c>
      <c r="G266" s="17">
        <f>3+1+1+1+0+0+4+0+0+2+1+2</f>
        <v>15</v>
      </c>
      <c r="H266" s="17">
        <f>198+296+296+4+130+126+9+31+167+13+0+46+2+117</f>
        <v>1435</v>
      </c>
      <c r="I266" s="16">
        <f>H266/(F266-G266)</f>
        <v>19.930555555555557</v>
      </c>
      <c r="J266" s="17">
        <v>95</v>
      </c>
      <c r="K266" s="25">
        <f>53+72+39+10+55+61+9+88.4+6+11+97.4+(0.4)+67</f>
        <v>569.19999999999993</v>
      </c>
      <c r="L266" s="25">
        <f>7+15+7+11+16+1+26+0+2+16+14</f>
        <v>115</v>
      </c>
      <c r="M266" s="25">
        <f>162+136+103+20+177+96+19+293+26+46+264+312</f>
        <v>1654</v>
      </c>
      <c r="N266" s="24">
        <f>M266/L266</f>
        <v>14.382608695652173</v>
      </c>
      <c r="O266" s="49" t="s">
        <v>1358</v>
      </c>
    </row>
    <row r="267" spans="1:15" s="54" customFormat="1" x14ac:dyDescent="0.2">
      <c r="A267" s="4">
        <v>681704</v>
      </c>
      <c r="B267" s="34" t="s">
        <v>591</v>
      </c>
      <c r="C267" s="2" t="s">
        <v>227</v>
      </c>
      <c r="D267" s="7">
        <f>6+5+1+4+3+0</f>
        <v>19</v>
      </c>
      <c r="E267" s="7"/>
      <c r="F267" s="17">
        <f>8+9+1+8+8+1</f>
        <v>35</v>
      </c>
      <c r="G267" s="17">
        <f>1+1+0+0+2+0</f>
        <v>4</v>
      </c>
      <c r="H267" s="17">
        <f>132+99+0+27+37+20</f>
        <v>315</v>
      </c>
      <c r="I267" s="16">
        <f>H267/(F267-G267)</f>
        <v>10.161290322580646</v>
      </c>
      <c r="J267" s="17">
        <v>45</v>
      </c>
      <c r="K267" s="25">
        <f>44+14+22+56.1+3</f>
        <v>139.1</v>
      </c>
      <c r="L267" s="25">
        <f>5+3+7+26+0</f>
        <v>41</v>
      </c>
      <c r="M267" s="25">
        <f>116+53+31+195+12</f>
        <v>407</v>
      </c>
      <c r="N267" s="24">
        <f>M267/L267</f>
        <v>9.9268292682926838</v>
      </c>
      <c r="O267" s="49" t="s">
        <v>1624</v>
      </c>
    </row>
    <row r="268" spans="1:15" s="54" customFormat="1" x14ac:dyDescent="0.2">
      <c r="A268" s="4"/>
      <c r="B268" s="35" t="s">
        <v>593</v>
      </c>
      <c r="C268" s="2" t="s">
        <v>117</v>
      </c>
      <c r="D268" s="7">
        <f>1</f>
        <v>1</v>
      </c>
      <c r="E268" s="7"/>
      <c r="F268" s="17">
        <f>1</f>
        <v>1</v>
      </c>
      <c r="G268" s="17">
        <f>1</f>
        <v>1</v>
      </c>
      <c r="H268" s="17">
        <v>0</v>
      </c>
      <c r="I268" s="16" t="e">
        <f>H268/(F268-G268)</f>
        <v>#DIV/0!</v>
      </c>
      <c r="J268" s="17" t="s">
        <v>372</v>
      </c>
      <c r="K268" s="25"/>
      <c r="L268" s="25"/>
      <c r="M268" s="25"/>
      <c r="N268" s="24" t="e">
        <f>M268/L268</f>
        <v>#DIV/0!</v>
      </c>
      <c r="O268" s="23"/>
    </row>
    <row r="269" spans="1:15" s="54" customFormat="1" x14ac:dyDescent="0.2">
      <c r="A269" s="4"/>
      <c r="B269" s="35" t="s">
        <v>594</v>
      </c>
      <c r="C269" s="2" t="s">
        <v>53</v>
      </c>
      <c r="D269" s="7">
        <v>1</v>
      </c>
      <c r="E269" s="7"/>
      <c r="F269" s="17">
        <v>11</v>
      </c>
      <c r="G269" s="17">
        <v>2</v>
      </c>
      <c r="H269" s="17">
        <v>6</v>
      </c>
      <c r="I269" s="16">
        <f>H269/(F269-G269)</f>
        <v>0.66666666666666663</v>
      </c>
      <c r="J269" s="17">
        <v>4</v>
      </c>
      <c r="K269" s="25">
        <v>11</v>
      </c>
      <c r="L269" s="25">
        <v>1</v>
      </c>
      <c r="M269" s="25">
        <v>66</v>
      </c>
      <c r="N269" s="24">
        <f>M269/L269</f>
        <v>66</v>
      </c>
      <c r="O269" s="23"/>
    </row>
    <row r="270" spans="1:15" s="5" customFormat="1" x14ac:dyDescent="0.2">
      <c r="A270" s="4"/>
      <c r="B270" s="34" t="s">
        <v>596</v>
      </c>
      <c r="C270" s="2" t="s">
        <v>88</v>
      </c>
      <c r="D270" s="7">
        <v>0</v>
      </c>
      <c r="E270" s="7"/>
      <c r="F270" s="17">
        <v>1</v>
      </c>
      <c r="G270" s="17">
        <v>0</v>
      </c>
      <c r="H270" s="17">
        <v>24</v>
      </c>
      <c r="I270" s="16">
        <f>H270/(F270-G270)</f>
        <v>24</v>
      </c>
      <c r="J270" s="17">
        <v>24</v>
      </c>
      <c r="K270" s="25"/>
      <c r="L270" s="25"/>
      <c r="M270" s="25"/>
      <c r="N270" s="24" t="e">
        <f>M270/L270</f>
        <v>#DIV/0!</v>
      </c>
      <c r="O270" s="23"/>
    </row>
    <row r="271" spans="1:15" x14ac:dyDescent="0.2">
      <c r="A271" s="4"/>
      <c r="B271" s="34" t="s">
        <v>595</v>
      </c>
      <c r="C271" s="2" t="s">
        <v>29</v>
      </c>
      <c r="D271" s="7">
        <v>10</v>
      </c>
      <c r="E271" s="7"/>
      <c r="F271" s="17">
        <v>9</v>
      </c>
      <c r="G271" s="17">
        <v>1</v>
      </c>
      <c r="H271" s="17">
        <v>24</v>
      </c>
      <c r="I271" s="16">
        <f>H271/(F271-G271)</f>
        <v>3</v>
      </c>
      <c r="J271" s="17">
        <v>8</v>
      </c>
      <c r="K271" s="25"/>
      <c r="L271" s="25"/>
      <c r="M271" s="25"/>
      <c r="N271" s="24" t="e">
        <f>M271/L271</f>
        <v>#DIV/0!</v>
      </c>
      <c r="O271" s="23"/>
    </row>
    <row r="272" spans="1:15" x14ac:dyDescent="0.2">
      <c r="A272" s="4"/>
      <c r="B272" s="35" t="s">
        <v>599</v>
      </c>
      <c r="C272" s="2" t="s">
        <v>88</v>
      </c>
      <c r="D272" s="8">
        <v>9</v>
      </c>
      <c r="E272" s="7">
        <v>1</v>
      </c>
      <c r="F272" s="17">
        <f>7</f>
        <v>7</v>
      </c>
      <c r="G272" s="17">
        <f>0</f>
        <v>0</v>
      </c>
      <c r="H272" s="17">
        <f>53</f>
        <v>53</v>
      </c>
      <c r="I272" s="16">
        <f>H272/(F272-G272)</f>
        <v>7.5714285714285712</v>
      </c>
      <c r="J272" s="17">
        <v>31</v>
      </c>
      <c r="K272" s="25">
        <f>9</f>
        <v>9</v>
      </c>
      <c r="L272" s="25">
        <f>2</f>
        <v>2</v>
      </c>
      <c r="M272" s="25">
        <f>63</f>
        <v>63</v>
      </c>
      <c r="N272" s="24">
        <f>M272/L272</f>
        <v>31.5</v>
      </c>
      <c r="O272" s="23"/>
    </row>
    <row r="273" spans="1:15" s="54" customFormat="1" x14ac:dyDescent="0.2">
      <c r="A273" s="4"/>
      <c r="B273" s="35" t="s">
        <v>597</v>
      </c>
      <c r="C273" s="2" t="s">
        <v>128</v>
      </c>
      <c r="D273" s="8">
        <v>31</v>
      </c>
      <c r="E273" s="7">
        <v>1</v>
      </c>
      <c r="F273" s="17">
        <f>1+17+10+9+5+11+12+3+12+11+8</f>
        <v>99</v>
      </c>
      <c r="G273" s="17">
        <f>1+1+2+2+1+0+1+1+0+1</f>
        <v>10</v>
      </c>
      <c r="H273" s="17">
        <f>51+218+149+105+81+219+101+39+229+216+172</f>
        <v>1580</v>
      </c>
      <c r="I273" s="16">
        <f>H273/(F273-G273)</f>
        <v>17.752808988764045</v>
      </c>
      <c r="J273" s="17">
        <v>83</v>
      </c>
      <c r="K273" s="25">
        <f>90+56+39+32+29+1</f>
        <v>247</v>
      </c>
      <c r="L273" s="25">
        <f>20+13+14+10+5+0</f>
        <v>62</v>
      </c>
      <c r="M273" s="25">
        <f>298+212+219+134+143+10</f>
        <v>1016</v>
      </c>
      <c r="N273" s="24">
        <f>M273/L273</f>
        <v>16.387096774193548</v>
      </c>
      <c r="O273" s="23"/>
    </row>
    <row r="274" spans="1:15" s="54" customFormat="1" x14ac:dyDescent="0.2">
      <c r="A274" s="4"/>
      <c r="B274" s="35" t="s">
        <v>598</v>
      </c>
      <c r="C274" s="2" t="s">
        <v>43</v>
      </c>
      <c r="D274" s="7">
        <v>5</v>
      </c>
      <c r="E274" s="7"/>
      <c r="F274" s="17">
        <f>12+1</f>
        <v>13</v>
      </c>
      <c r="G274" s="17">
        <v>1</v>
      </c>
      <c r="H274" s="17">
        <f>225+19</f>
        <v>244</v>
      </c>
      <c r="I274" s="16">
        <f>H274/(F274-G274)</f>
        <v>20.333333333333332</v>
      </c>
      <c r="J274" s="17">
        <v>71</v>
      </c>
      <c r="K274" s="25">
        <v>36.4</v>
      </c>
      <c r="L274" s="25">
        <v>8</v>
      </c>
      <c r="M274" s="25">
        <v>129</v>
      </c>
      <c r="N274" s="24">
        <f>M274/L274</f>
        <v>16.125</v>
      </c>
      <c r="O274" s="23"/>
    </row>
    <row r="275" spans="1:15" s="5" customFormat="1" x14ac:dyDescent="0.2">
      <c r="A275" s="4"/>
      <c r="B275" s="34" t="s">
        <v>600</v>
      </c>
      <c r="C275" s="2" t="s">
        <v>284</v>
      </c>
      <c r="D275" s="7">
        <f>4+5+1</f>
        <v>10</v>
      </c>
      <c r="E275" s="7"/>
      <c r="F275" s="17">
        <f>8+8</f>
        <v>16</v>
      </c>
      <c r="G275" s="17">
        <v>0</v>
      </c>
      <c r="H275" s="17">
        <f>50+121</f>
        <v>171</v>
      </c>
      <c r="I275" s="16">
        <f>H275/(F275-G275)</f>
        <v>10.6875</v>
      </c>
      <c r="J275" s="17">
        <v>41</v>
      </c>
      <c r="K275" s="25">
        <f>37+6</f>
        <v>43</v>
      </c>
      <c r="L275" s="25">
        <f>10+1</f>
        <v>11</v>
      </c>
      <c r="M275" s="25">
        <f>82+40</f>
        <v>122</v>
      </c>
      <c r="N275" s="24">
        <f>M275/L275</f>
        <v>11.090909090909092</v>
      </c>
      <c r="O275" s="23"/>
    </row>
    <row r="276" spans="1:15" x14ac:dyDescent="0.2">
      <c r="A276" s="4"/>
      <c r="B276" s="34" t="s">
        <v>601</v>
      </c>
      <c r="C276" s="2" t="s">
        <v>255</v>
      </c>
      <c r="D276" s="7">
        <f>2+1</f>
        <v>3</v>
      </c>
      <c r="E276" s="7"/>
      <c r="F276" s="17">
        <f>10+10</f>
        <v>20</v>
      </c>
      <c r="G276" s="17">
        <f>2+2</f>
        <v>4</v>
      </c>
      <c r="H276" s="17">
        <f>13+10</f>
        <v>23</v>
      </c>
      <c r="I276" s="16">
        <f>H276/(F276-G276)</f>
        <v>1.4375</v>
      </c>
      <c r="J276" s="17">
        <v>8</v>
      </c>
      <c r="K276" s="25">
        <f>3+2</f>
        <v>5</v>
      </c>
      <c r="L276" s="25">
        <f>1+0</f>
        <v>1</v>
      </c>
      <c r="M276" s="25">
        <f>29+5</f>
        <v>34</v>
      </c>
      <c r="N276" s="24">
        <f>M276/L276</f>
        <v>34</v>
      </c>
      <c r="O276" s="23"/>
    </row>
    <row r="277" spans="1:15" s="5" customFormat="1" x14ac:dyDescent="0.2">
      <c r="A277" s="4">
        <v>946178</v>
      </c>
      <c r="B277" s="55" t="s">
        <v>1845</v>
      </c>
      <c r="C277" s="2" t="s">
        <v>1846</v>
      </c>
      <c r="D277" s="7">
        <f>4+4+6+1+0</f>
        <v>15</v>
      </c>
      <c r="E277" s="7">
        <f>0</f>
        <v>0</v>
      </c>
      <c r="F277" s="17">
        <f>5+10+10+1</f>
        <v>26</v>
      </c>
      <c r="G277" s="17">
        <f>3+3+3+0</f>
        <v>9</v>
      </c>
      <c r="H277" s="17">
        <f>109+151+139+114</f>
        <v>513</v>
      </c>
      <c r="I277" s="16">
        <f>H277/(F277-G277)</f>
        <v>30.176470588235293</v>
      </c>
      <c r="J277" s="17">
        <v>114</v>
      </c>
      <c r="K277" s="25">
        <f>91+146+122.2+7.2</f>
        <v>366.4</v>
      </c>
      <c r="L277" s="25">
        <f>17+35+37+0</f>
        <v>89</v>
      </c>
      <c r="M277" s="25">
        <f>197+321+241+61</f>
        <v>820</v>
      </c>
      <c r="N277" s="24">
        <f>M277/L277</f>
        <v>9.213483146067416</v>
      </c>
      <c r="O277" s="49" t="s">
        <v>2021</v>
      </c>
    </row>
    <row r="278" spans="1:15" s="5" customFormat="1" x14ac:dyDescent="0.2">
      <c r="A278" s="4"/>
      <c r="B278" s="35" t="s">
        <v>602</v>
      </c>
      <c r="C278" s="2" t="s">
        <v>10</v>
      </c>
      <c r="D278" s="8">
        <v>4</v>
      </c>
      <c r="E278" s="7">
        <v>1</v>
      </c>
      <c r="F278" s="17">
        <v>19</v>
      </c>
      <c r="G278" s="17">
        <v>1</v>
      </c>
      <c r="H278" s="17">
        <v>368</v>
      </c>
      <c r="I278" s="16">
        <f>H278/(F278-G278)</f>
        <v>20.444444444444443</v>
      </c>
      <c r="J278" s="17">
        <v>83</v>
      </c>
      <c r="K278" s="25">
        <v>25</v>
      </c>
      <c r="L278" s="25">
        <v>5</v>
      </c>
      <c r="M278" s="25">
        <v>149</v>
      </c>
      <c r="N278" s="24">
        <f>M278/L278</f>
        <v>29.8</v>
      </c>
      <c r="O278" s="23"/>
    </row>
    <row r="279" spans="1:15" s="54" customFormat="1" x14ac:dyDescent="0.2">
      <c r="A279" s="4"/>
      <c r="B279" s="2" t="s">
        <v>603</v>
      </c>
      <c r="C279" s="2" t="s">
        <v>91</v>
      </c>
      <c r="D279" s="7">
        <v>3</v>
      </c>
      <c r="E279" s="7"/>
      <c r="F279" s="17">
        <v>11</v>
      </c>
      <c r="G279" s="17">
        <v>2</v>
      </c>
      <c r="H279" s="17">
        <v>49</v>
      </c>
      <c r="I279" s="16">
        <f>H279/(F279-G279)</f>
        <v>5.4444444444444446</v>
      </c>
      <c r="J279" s="17">
        <v>24</v>
      </c>
      <c r="K279" s="25">
        <v>37</v>
      </c>
      <c r="L279" s="25">
        <v>5</v>
      </c>
      <c r="M279" s="25">
        <v>167</v>
      </c>
      <c r="N279" s="24">
        <f>M279/L279</f>
        <v>33.4</v>
      </c>
      <c r="O279" s="23"/>
    </row>
    <row r="280" spans="1:15" s="54" customFormat="1" x14ac:dyDescent="0.2">
      <c r="A280" s="4"/>
      <c r="B280" s="35" t="s">
        <v>604</v>
      </c>
      <c r="C280" s="2" t="s">
        <v>129</v>
      </c>
      <c r="D280" s="7">
        <f>29+2</f>
        <v>31</v>
      </c>
      <c r="E280" s="7"/>
      <c r="F280" s="17">
        <f>43+11</f>
        <v>54</v>
      </c>
      <c r="G280" s="17">
        <f>7+2</f>
        <v>9</v>
      </c>
      <c r="H280" s="17">
        <f>329+43</f>
        <v>372</v>
      </c>
      <c r="I280" s="16">
        <f>H280/(F280-G280)</f>
        <v>8.2666666666666675</v>
      </c>
      <c r="J280" s="17" t="s">
        <v>404</v>
      </c>
      <c r="K280" s="25">
        <v>32</v>
      </c>
      <c r="L280" s="25">
        <v>5</v>
      </c>
      <c r="M280" s="25">
        <v>123</v>
      </c>
      <c r="N280" s="24">
        <f>M280/L280</f>
        <v>24.6</v>
      </c>
      <c r="O280" s="23"/>
    </row>
    <row r="281" spans="1:15" s="54" customFormat="1" x14ac:dyDescent="0.2">
      <c r="A281" s="4"/>
      <c r="B281" s="35" t="s">
        <v>605</v>
      </c>
      <c r="C281" s="2" t="s">
        <v>76</v>
      </c>
      <c r="D281" s="7">
        <f>5+1+2+1</f>
        <v>9</v>
      </c>
      <c r="E281" s="7"/>
      <c r="F281" s="17">
        <f>9+2+7+7+3+13+11</f>
        <v>52</v>
      </c>
      <c r="G281" s="17">
        <f>2+1+2+1+3</f>
        <v>9</v>
      </c>
      <c r="H281" s="17">
        <f>6+7+20+93+42+10+57</f>
        <v>235</v>
      </c>
      <c r="I281" s="16">
        <f>H281/(F281-G281)</f>
        <v>5.4651162790697674</v>
      </c>
      <c r="J281" s="17">
        <v>37</v>
      </c>
      <c r="K281" s="25">
        <f>15+2+4</f>
        <v>21</v>
      </c>
      <c r="L281" s="25">
        <f>4+2+2</f>
        <v>8</v>
      </c>
      <c r="M281" s="25">
        <f>70+2+29</f>
        <v>101</v>
      </c>
      <c r="N281" s="24">
        <f>M281/L281</f>
        <v>12.625</v>
      </c>
      <c r="O281" s="23"/>
    </row>
    <row r="282" spans="1:15" x14ac:dyDescent="0.2">
      <c r="A282" s="4"/>
      <c r="B282" s="35" t="s">
        <v>606</v>
      </c>
      <c r="C282" s="2" t="s">
        <v>63</v>
      </c>
      <c r="D282" s="7">
        <v>3</v>
      </c>
      <c r="E282" s="7"/>
      <c r="F282" s="17">
        <f>8+2</f>
        <v>10</v>
      </c>
      <c r="G282" s="17">
        <v>1</v>
      </c>
      <c r="H282" s="17">
        <f>3+5</f>
        <v>8</v>
      </c>
      <c r="I282" s="16">
        <f>H282/(F282-G282)</f>
        <v>0.88888888888888884</v>
      </c>
      <c r="J282" s="17">
        <v>5</v>
      </c>
      <c r="K282" s="25">
        <f>20+4</f>
        <v>24</v>
      </c>
      <c r="L282" s="25">
        <v>2</v>
      </c>
      <c r="M282" s="25">
        <f>71+9</f>
        <v>80</v>
      </c>
      <c r="N282" s="24">
        <f>M282/L282</f>
        <v>40</v>
      </c>
      <c r="O282" s="23"/>
    </row>
    <row r="283" spans="1:15" s="6" customFormat="1" x14ac:dyDescent="0.2">
      <c r="A283" s="4"/>
      <c r="B283" s="35" t="s">
        <v>607</v>
      </c>
      <c r="C283" s="2" t="s">
        <v>14</v>
      </c>
      <c r="D283" s="7">
        <v>0</v>
      </c>
      <c r="E283" s="7"/>
      <c r="F283" s="17">
        <v>13</v>
      </c>
      <c r="G283" s="17">
        <v>2</v>
      </c>
      <c r="H283" s="17">
        <v>84</v>
      </c>
      <c r="I283" s="16">
        <f>H283/(F283-G283)</f>
        <v>7.6363636363636367</v>
      </c>
      <c r="J283" s="17">
        <v>18</v>
      </c>
      <c r="K283" s="25">
        <v>47</v>
      </c>
      <c r="L283" s="25">
        <v>16</v>
      </c>
      <c r="M283" s="25">
        <v>176</v>
      </c>
      <c r="N283" s="24">
        <f>M283/L283</f>
        <v>11</v>
      </c>
      <c r="O283" s="23"/>
    </row>
    <row r="284" spans="1:15" s="54" customFormat="1" x14ac:dyDescent="0.2">
      <c r="A284" s="4"/>
      <c r="B284" s="35" t="s">
        <v>608</v>
      </c>
      <c r="C284" s="2" t="s">
        <v>168</v>
      </c>
      <c r="D284" s="7">
        <v>15</v>
      </c>
      <c r="E284" s="7"/>
      <c r="F284" s="17">
        <v>35</v>
      </c>
      <c r="G284" s="17">
        <v>4</v>
      </c>
      <c r="H284" s="17">
        <v>323</v>
      </c>
      <c r="I284" s="16">
        <f>H284/(F284-G284)</f>
        <v>10.419354838709678</v>
      </c>
      <c r="J284" s="17">
        <v>47</v>
      </c>
      <c r="K284" s="25">
        <v>7</v>
      </c>
      <c r="L284" s="25">
        <v>1</v>
      </c>
      <c r="M284" s="25">
        <v>34</v>
      </c>
      <c r="N284" s="24">
        <f>M284/L284</f>
        <v>34</v>
      </c>
      <c r="O284" s="23"/>
    </row>
    <row r="285" spans="1:15" s="54" customFormat="1" x14ac:dyDescent="0.2">
      <c r="A285" s="4"/>
      <c r="B285" s="34" t="s">
        <v>609</v>
      </c>
      <c r="C285" s="2" t="s">
        <v>66</v>
      </c>
      <c r="D285" s="7">
        <v>0</v>
      </c>
      <c r="E285" s="7"/>
      <c r="F285" s="17">
        <v>2</v>
      </c>
      <c r="G285" s="17">
        <v>0</v>
      </c>
      <c r="H285" s="17">
        <v>9</v>
      </c>
      <c r="I285" s="16">
        <f>H285/(F285-G285)</f>
        <v>4.5</v>
      </c>
      <c r="J285" s="17">
        <v>5</v>
      </c>
      <c r="K285" s="25">
        <v>0</v>
      </c>
      <c r="L285" s="25">
        <v>0</v>
      </c>
      <c r="M285" s="25">
        <v>0</v>
      </c>
      <c r="N285" s="24" t="e">
        <f>M285/L285</f>
        <v>#DIV/0!</v>
      </c>
      <c r="O285" s="23"/>
    </row>
    <row r="286" spans="1:15" s="5" customFormat="1" x14ac:dyDescent="0.2">
      <c r="A286" s="4"/>
      <c r="B286" s="35" t="s">
        <v>610</v>
      </c>
      <c r="C286" s="2" t="s">
        <v>119</v>
      </c>
      <c r="D286" s="7"/>
      <c r="E286" s="7"/>
      <c r="F286" s="17">
        <v>1</v>
      </c>
      <c r="G286" s="17">
        <v>1</v>
      </c>
      <c r="H286" s="17">
        <v>2</v>
      </c>
      <c r="I286" s="16" t="e">
        <f>H286/(F286-G286)</f>
        <v>#DIV/0!</v>
      </c>
      <c r="J286" s="17">
        <v>2</v>
      </c>
      <c r="K286" s="25"/>
      <c r="L286" s="25"/>
      <c r="M286" s="25"/>
      <c r="N286" s="24" t="e">
        <f>M286/L286</f>
        <v>#DIV/0!</v>
      </c>
      <c r="O286" s="23"/>
    </row>
    <row r="287" spans="1:15" s="5" customFormat="1" x14ac:dyDescent="0.2">
      <c r="A287" s="4"/>
      <c r="B287" s="35" t="s">
        <v>611</v>
      </c>
      <c r="C287" s="2" t="s">
        <v>10</v>
      </c>
      <c r="D287" s="7">
        <v>1</v>
      </c>
      <c r="E287" s="7"/>
      <c r="F287" s="17">
        <v>9</v>
      </c>
      <c r="G287" s="17">
        <v>1</v>
      </c>
      <c r="H287" s="17">
        <v>31</v>
      </c>
      <c r="I287" s="16">
        <f>H287/(F287-G287)</f>
        <v>3.875</v>
      </c>
      <c r="J287" s="17">
        <v>10</v>
      </c>
      <c r="K287" s="25">
        <v>3</v>
      </c>
      <c r="L287" s="25">
        <v>1</v>
      </c>
      <c r="M287" s="25">
        <v>18</v>
      </c>
      <c r="N287" s="24">
        <f>M287/L287</f>
        <v>18</v>
      </c>
      <c r="O287" s="23"/>
    </row>
    <row r="288" spans="1:15" x14ac:dyDescent="0.2">
      <c r="A288" s="4"/>
      <c r="B288" s="34" t="s">
        <v>612</v>
      </c>
      <c r="C288" s="2" t="s">
        <v>228</v>
      </c>
      <c r="D288" s="7">
        <f>6+5+4</f>
        <v>15</v>
      </c>
      <c r="E288" s="7"/>
      <c r="F288" s="17">
        <f>7+9+12</f>
        <v>28</v>
      </c>
      <c r="G288" s="17">
        <f>3+0+0</f>
        <v>3</v>
      </c>
      <c r="H288" s="17">
        <f>30+111+116</f>
        <v>257</v>
      </c>
      <c r="I288" s="16">
        <f>H288/(F288-G288)</f>
        <v>10.28</v>
      </c>
      <c r="J288" s="17">
        <v>32</v>
      </c>
      <c r="K288" s="25">
        <f>81+75+67.1</f>
        <v>223.1</v>
      </c>
      <c r="L288" s="25">
        <f>18+16+17</f>
        <v>51</v>
      </c>
      <c r="M288" s="25">
        <f>206+208+202</f>
        <v>616</v>
      </c>
      <c r="N288" s="24">
        <f>M288/L288</f>
        <v>12.078431372549019</v>
      </c>
      <c r="O288" s="23"/>
    </row>
    <row r="289" spans="1:15" s="6" customFormat="1" x14ac:dyDescent="0.2">
      <c r="A289" s="4"/>
      <c r="B289" s="34" t="s">
        <v>613</v>
      </c>
      <c r="C289" s="2" t="s">
        <v>178</v>
      </c>
      <c r="D289" s="7">
        <v>0</v>
      </c>
      <c r="E289" s="7"/>
      <c r="F289" s="17">
        <v>0</v>
      </c>
      <c r="G289" s="17"/>
      <c r="H289" s="17"/>
      <c r="I289" s="16" t="e">
        <f>H289/(F289-G289)</f>
        <v>#DIV/0!</v>
      </c>
      <c r="J289" s="17"/>
      <c r="K289" s="25">
        <v>10</v>
      </c>
      <c r="L289" s="25">
        <v>1</v>
      </c>
      <c r="M289" s="25">
        <v>15</v>
      </c>
      <c r="N289" s="24">
        <f>M289/L289</f>
        <v>15</v>
      </c>
      <c r="O289" s="23"/>
    </row>
    <row r="290" spans="1:15" s="54" customFormat="1" x14ac:dyDescent="0.2">
      <c r="A290" s="4"/>
      <c r="B290" s="35" t="s">
        <v>614</v>
      </c>
      <c r="C290" s="2" t="s">
        <v>178</v>
      </c>
      <c r="D290" s="7">
        <v>1</v>
      </c>
      <c r="E290" s="7"/>
      <c r="F290" s="17">
        <v>8</v>
      </c>
      <c r="G290" s="17"/>
      <c r="H290" s="17">
        <v>333</v>
      </c>
      <c r="I290" s="16">
        <f>H290/(F290-G290)</f>
        <v>41.625</v>
      </c>
      <c r="J290" s="17">
        <v>112</v>
      </c>
      <c r="K290" s="25">
        <v>114</v>
      </c>
      <c r="L290" s="25">
        <v>22</v>
      </c>
      <c r="M290" s="25">
        <v>316</v>
      </c>
      <c r="N290" s="24">
        <f>M290/L290</f>
        <v>14.363636363636363</v>
      </c>
      <c r="O290" s="23"/>
    </row>
    <row r="291" spans="1:15" x14ac:dyDescent="0.2">
      <c r="A291" s="4"/>
      <c r="B291" s="35" t="s">
        <v>615</v>
      </c>
      <c r="C291" s="2" t="s">
        <v>88</v>
      </c>
      <c r="D291" s="7">
        <f>17+4+1+6+5+8+2+2+4+0</f>
        <v>49</v>
      </c>
      <c r="E291" s="7"/>
      <c r="F291" s="17">
        <f>48+9+1+2+2+13+1+19+7+1+14+16+17+17+16</f>
        <v>183</v>
      </c>
      <c r="G291" s="17">
        <f>9+1+1+1+1+1+0</f>
        <v>14</v>
      </c>
      <c r="H291" s="17">
        <f>514+177+1+8+31+132+1+232+123+119+215+309+125</f>
        <v>1987</v>
      </c>
      <c r="I291" s="16">
        <f>H291/(F291-G291)</f>
        <v>11.757396449704142</v>
      </c>
      <c r="J291" s="17">
        <v>68</v>
      </c>
      <c r="K291" s="25">
        <f>153+4+15+35+14+5+1+8+6</f>
        <v>241</v>
      </c>
      <c r="L291" s="25">
        <f>31+3+26+3+1+3+1</f>
        <v>68</v>
      </c>
      <c r="M291" s="25">
        <f>610+16+66+347+111+43+5+54+23</f>
        <v>1275</v>
      </c>
      <c r="N291" s="24">
        <f>M291/L291</f>
        <v>18.75</v>
      </c>
      <c r="O291" s="23"/>
    </row>
    <row r="292" spans="1:15" x14ac:dyDescent="0.2">
      <c r="A292" s="4"/>
      <c r="B292" s="35" t="s">
        <v>616</v>
      </c>
      <c r="C292" s="2" t="s">
        <v>159</v>
      </c>
      <c r="D292" s="7">
        <v>22</v>
      </c>
      <c r="E292" s="7"/>
      <c r="F292" s="17">
        <v>42</v>
      </c>
      <c r="G292" s="17">
        <v>16</v>
      </c>
      <c r="H292" s="17">
        <v>232</v>
      </c>
      <c r="I292" s="16">
        <f>H292/(F292-G292)</f>
        <v>8.9230769230769234</v>
      </c>
      <c r="J292" s="17">
        <v>32</v>
      </c>
      <c r="K292" s="25">
        <v>1020</v>
      </c>
      <c r="L292" s="25">
        <v>175</v>
      </c>
      <c r="M292" s="25">
        <v>2919</v>
      </c>
      <c r="N292" s="24">
        <f>M292/L292</f>
        <v>16.68</v>
      </c>
      <c r="O292" s="23"/>
    </row>
    <row r="293" spans="1:15" s="54" customFormat="1" x14ac:dyDescent="0.2">
      <c r="A293" s="4"/>
      <c r="B293" s="35" t="s">
        <v>617</v>
      </c>
      <c r="C293" s="2" t="s">
        <v>123</v>
      </c>
      <c r="D293" s="7">
        <v>5</v>
      </c>
      <c r="E293" s="7"/>
      <c r="F293" s="17">
        <v>6</v>
      </c>
      <c r="G293" s="17">
        <v>1</v>
      </c>
      <c r="H293" s="17">
        <v>33</v>
      </c>
      <c r="I293" s="16">
        <f>H293/(F293-G293)</f>
        <v>6.6</v>
      </c>
      <c r="J293" s="17">
        <v>17</v>
      </c>
      <c r="K293" s="25">
        <v>26</v>
      </c>
      <c r="L293" s="25">
        <v>6</v>
      </c>
      <c r="M293" s="25">
        <v>64</v>
      </c>
      <c r="N293" s="24">
        <f>M293/L293</f>
        <v>10.666666666666666</v>
      </c>
      <c r="O293" s="23"/>
    </row>
    <row r="294" spans="1:15" x14ac:dyDescent="0.2">
      <c r="A294" s="4"/>
      <c r="B294" s="34" t="s">
        <v>618</v>
      </c>
      <c r="C294" s="2" t="s">
        <v>221</v>
      </c>
      <c r="D294" s="7">
        <f>3+5</f>
        <v>8</v>
      </c>
      <c r="E294" s="7"/>
      <c r="F294" s="17">
        <f>9+8</f>
        <v>17</v>
      </c>
      <c r="G294" s="17">
        <f>3+6</f>
        <v>9</v>
      </c>
      <c r="H294" s="17">
        <f>8+8</f>
        <v>16</v>
      </c>
      <c r="I294" s="16">
        <f>H294/(F294-G294)</f>
        <v>2</v>
      </c>
      <c r="J294" s="17">
        <v>4</v>
      </c>
      <c r="K294" s="25">
        <f>42+33</f>
        <v>75</v>
      </c>
      <c r="L294" s="25">
        <f>12+3</f>
        <v>15</v>
      </c>
      <c r="M294" s="25">
        <f>69+84</f>
        <v>153</v>
      </c>
      <c r="N294" s="24">
        <f>M294/L294</f>
        <v>10.199999999999999</v>
      </c>
      <c r="O294" s="23"/>
    </row>
    <row r="295" spans="1:15" s="54" customFormat="1" x14ac:dyDescent="0.2">
      <c r="A295" s="57">
        <v>1022231</v>
      </c>
      <c r="B295" s="65" t="s">
        <v>1847</v>
      </c>
      <c r="C295" s="58" t="s">
        <v>1848</v>
      </c>
      <c r="D295" s="59">
        <f>0+0+0+0</f>
        <v>0</v>
      </c>
      <c r="E295" s="59">
        <f>0+0</f>
        <v>0</v>
      </c>
      <c r="F295" s="60">
        <f>6+8+8+5+11</f>
        <v>38</v>
      </c>
      <c r="G295" s="60">
        <f>0+0+0+0</f>
        <v>0</v>
      </c>
      <c r="H295" s="60">
        <f>130+153+150+98+273</f>
        <v>804</v>
      </c>
      <c r="I295" s="61">
        <f>H295/(F295-G295)</f>
        <v>21.157894736842106</v>
      </c>
      <c r="J295" s="60">
        <v>66</v>
      </c>
      <c r="K295" s="62">
        <v>0</v>
      </c>
      <c r="L295" s="62">
        <v>0</v>
      </c>
      <c r="M295" s="62">
        <v>0</v>
      </c>
      <c r="N295" s="63" t="e">
        <f>M295/L295</f>
        <v>#DIV/0!</v>
      </c>
      <c r="O295" s="81"/>
    </row>
    <row r="296" spans="1:15" s="6" customFormat="1" x14ac:dyDescent="0.2">
      <c r="A296" s="4">
        <v>2084575</v>
      </c>
      <c r="B296" s="2" t="s">
        <v>2319</v>
      </c>
      <c r="C296" s="2" t="s">
        <v>1553</v>
      </c>
      <c r="D296" s="7">
        <f>4</f>
        <v>4</v>
      </c>
      <c r="E296" s="7">
        <f>0</f>
        <v>0</v>
      </c>
      <c r="F296" s="17">
        <f>10</f>
        <v>10</v>
      </c>
      <c r="G296" s="17">
        <f>1</f>
        <v>1</v>
      </c>
      <c r="H296" s="17">
        <f>140</f>
        <v>140</v>
      </c>
      <c r="I296" s="16">
        <f>H296/(F296-G296)</f>
        <v>15.555555555555555</v>
      </c>
      <c r="J296" s="17">
        <v>30</v>
      </c>
      <c r="K296" s="25">
        <f>24</f>
        <v>24</v>
      </c>
      <c r="L296" s="25">
        <f>7</f>
        <v>7</v>
      </c>
      <c r="M296" s="25">
        <f>82</f>
        <v>82</v>
      </c>
      <c r="N296" s="24">
        <f>M296/L296</f>
        <v>11.714285714285714</v>
      </c>
      <c r="O296" s="49" t="s">
        <v>2457</v>
      </c>
    </row>
    <row r="297" spans="1:15" s="6" customFormat="1" x14ac:dyDescent="0.2">
      <c r="A297" s="4"/>
      <c r="B297" s="35" t="s">
        <v>619</v>
      </c>
      <c r="C297" s="2" t="s">
        <v>191</v>
      </c>
      <c r="D297" s="7">
        <v>27</v>
      </c>
      <c r="E297" s="7">
        <v>4</v>
      </c>
      <c r="F297" s="17">
        <v>34</v>
      </c>
      <c r="G297" s="17">
        <v>10</v>
      </c>
      <c r="H297" s="17">
        <v>815</v>
      </c>
      <c r="I297" s="16">
        <f>H297/(F297-G297)</f>
        <v>33.958333333333336</v>
      </c>
      <c r="J297" s="17">
        <v>63</v>
      </c>
      <c r="K297" s="25">
        <v>12</v>
      </c>
      <c r="L297" s="25">
        <v>4</v>
      </c>
      <c r="M297" s="25">
        <v>45</v>
      </c>
      <c r="N297" s="24">
        <f>M297/L297</f>
        <v>11.25</v>
      </c>
      <c r="O297" s="23"/>
    </row>
    <row r="298" spans="1:15" s="54" customFormat="1" x14ac:dyDescent="0.2">
      <c r="A298" s="4"/>
      <c r="B298" s="35" t="s">
        <v>620</v>
      </c>
      <c r="C298" s="2" t="s">
        <v>86</v>
      </c>
      <c r="D298" s="8">
        <v>59</v>
      </c>
      <c r="E298" s="7">
        <v>1</v>
      </c>
      <c r="F298" s="17">
        <v>50</v>
      </c>
      <c r="G298" s="17">
        <v>5</v>
      </c>
      <c r="H298" s="17">
        <v>545</v>
      </c>
      <c r="I298" s="16">
        <f>H298/(F298-G298)</f>
        <v>12.111111111111111</v>
      </c>
      <c r="J298" s="17">
        <v>48</v>
      </c>
      <c r="K298" s="25"/>
      <c r="L298" s="25"/>
      <c r="M298" s="25"/>
      <c r="N298" s="24" t="e">
        <f>M298/L298</f>
        <v>#DIV/0!</v>
      </c>
      <c r="O298" s="23"/>
    </row>
    <row r="299" spans="1:15" x14ac:dyDescent="0.2">
      <c r="A299" s="4"/>
      <c r="B299" s="35" t="s">
        <v>621</v>
      </c>
      <c r="C299" s="2" t="s">
        <v>168</v>
      </c>
      <c r="D299" s="7">
        <v>46</v>
      </c>
      <c r="E299" s="7"/>
      <c r="F299" s="17">
        <v>52</v>
      </c>
      <c r="G299" s="17">
        <v>17</v>
      </c>
      <c r="H299" s="17">
        <v>1146</v>
      </c>
      <c r="I299" s="16">
        <f>H299/(F299-G299)</f>
        <v>32.74285714285714</v>
      </c>
      <c r="J299" s="17" t="s">
        <v>398</v>
      </c>
      <c r="K299" s="25">
        <v>76</v>
      </c>
      <c r="L299" s="25">
        <v>22</v>
      </c>
      <c r="M299" s="25">
        <v>256</v>
      </c>
      <c r="N299" s="24">
        <f>M299/L299</f>
        <v>11.636363636363637</v>
      </c>
      <c r="O299" s="23"/>
    </row>
    <row r="300" spans="1:15" x14ac:dyDescent="0.2">
      <c r="A300" s="4"/>
      <c r="B300" s="34" t="s">
        <v>622</v>
      </c>
      <c r="C300" s="2" t="s">
        <v>246</v>
      </c>
      <c r="D300" s="7">
        <f>3+7</f>
        <v>10</v>
      </c>
      <c r="E300" s="7"/>
      <c r="F300" s="17">
        <f>7+12</f>
        <v>19</v>
      </c>
      <c r="G300" s="17">
        <f>1+3</f>
        <v>4</v>
      </c>
      <c r="H300" s="17">
        <f>88+217</f>
        <v>305</v>
      </c>
      <c r="I300" s="16">
        <f>H300/(F300-G300)</f>
        <v>20.333333333333332</v>
      </c>
      <c r="J300" s="17" t="s">
        <v>285</v>
      </c>
      <c r="K300" s="25">
        <f>44+95.5</f>
        <v>139.5</v>
      </c>
      <c r="L300" s="25">
        <f>7+27</f>
        <v>34</v>
      </c>
      <c r="M300" s="25">
        <f>64+115</f>
        <v>179</v>
      </c>
      <c r="N300" s="24">
        <f>M300/L300</f>
        <v>5.2647058823529411</v>
      </c>
      <c r="O300" s="23"/>
    </row>
    <row r="301" spans="1:15" s="6" customFormat="1" x14ac:dyDescent="0.2">
      <c r="A301" s="4">
        <v>1574765</v>
      </c>
      <c r="B301" s="35" t="s">
        <v>2079</v>
      </c>
      <c r="C301" s="2" t="s">
        <v>2080</v>
      </c>
      <c r="D301" s="7">
        <f>1</f>
        <v>1</v>
      </c>
      <c r="E301" s="7"/>
      <c r="F301" s="17">
        <f>4</f>
        <v>4</v>
      </c>
      <c r="G301" s="17">
        <f>0</f>
        <v>0</v>
      </c>
      <c r="H301" s="17">
        <f>8</f>
        <v>8</v>
      </c>
      <c r="I301" s="16">
        <f>H301/(F301-G301)</f>
        <v>2</v>
      </c>
      <c r="J301" s="17">
        <v>7</v>
      </c>
      <c r="K301" s="25">
        <f>2</f>
        <v>2</v>
      </c>
      <c r="L301" s="25">
        <f>0</f>
        <v>0</v>
      </c>
      <c r="M301" s="25">
        <f>11</f>
        <v>11</v>
      </c>
      <c r="N301" s="24" t="e">
        <f>M301/L301</f>
        <v>#DIV/0!</v>
      </c>
      <c r="O301" s="49" t="s">
        <v>2264</v>
      </c>
    </row>
    <row r="302" spans="1:15" s="54" customFormat="1" x14ac:dyDescent="0.2">
      <c r="A302" s="4"/>
      <c r="B302" s="34" t="s">
        <v>623</v>
      </c>
      <c r="C302" s="2" t="s">
        <v>251</v>
      </c>
      <c r="D302" s="7">
        <f>4+6</f>
        <v>10</v>
      </c>
      <c r="E302" s="7"/>
      <c r="F302" s="17">
        <f>14+13</f>
        <v>27</v>
      </c>
      <c r="G302" s="17">
        <f>1+0</f>
        <v>1</v>
      </c>
      <c r="H302" s="17">
        <f>285+317</f>
        <v>602</v>
      </c>
      <c r="I302" s="16">
        <f>H302/(F302-G302)</f>
        <v>23.153846153846153</v>
      </c>
      <c r="J302" s="17">
        <v>96</v>
      </c>
      <c r="K302" s="25">
        <f>73+31</f>
        <v>104</v>
      </c>
      <c r="L302" s="25">
        <f>10+7</f>
        <v>17</v>
      </c>
      <c r="M302" s="25">
        <f>146+124</f>
        <v>270</v>
      </c>
      <c r="N302" s="24">
        <f>M302/L302</f>
        <v>15.882352941176471</v>
      </c>
      <c r="O302" s="23"/>
    </row>
    <row r="303" spans="1:15" s="6" customFormat="1" x14ac:dyDescent="0.2">
      <c r="A303" s="4">
        <v>2146733</v>
      </c>
      <c r="B303" s="35" t="s">
        <v>2320</v>
      </c>
      <c r="C303" s="2" t="s">
        <v>2321</v>
      </c>
      <c r="D303" s="7">
        <f>1</f>
        <v>1</v>
      </c>
      <c r="E303" s="7">
        <f>0</f>
        <v>0</v>
      </c>
      <c r="F303" s="17">
        <f>2</f>
        <v>2</v>
      </c>
      <c r="G303" s="17">
        <f>1</f>
        <v>1</v>
      </c>
      <c r="H303" s="17">
        <f>0</f>
        <v>0</v>
      </c>
      <c r="I303" s="16">
        <f>H303/(F303-G303)</f>
        <v>0</v>
      </c>
      <c r="J303" s="17" t="s">
        <v>372</v>
      </c>
      <c r="K303" s="25">
        <f>7</f>
        <v>7</v>
      </c>
      <c r="L303" s="25">
        <f>2</f>
        <v>2</v>
      </c>
      <c r="M303" s="25">
        <f>38</f>
        <v>38</v>
      </c>
      <c r="N303" s="24">
        <f>M303/L303</f>
        <v>19</v>
      </c>
      <c r="O303" s="49" t="s">
        <v>1640</v>
      </c>
    </row>
    <row r="304" spans="1:15" s="54" customFormat="1" x14ac:dyDescent="0.2">
      <c r="A304" s="57"/>
      <c r="B304" s="65" t="s">
        <v>2676</v>
      </c>
      <c r="C304" s="58" t="s">
        <v>2677</v>
      </c>
      <c r="D304" s="59">
        <v>0</v>
      </c>
      <c r="E304" s="59"/>
      <c r="F304" s="60">
        <v>4</v>
      </c>
      <c r="G304" s="60">
        <v>0</v>
      </c>
      <c r="H304" s="60">
        <v>16</v>
      </c>
      <c r="I304" s="61">
        <f>H304/(F304-G304)</f>
        <v>4</v>
      </c>
      <c r="J304" s="60">
        <v>13</v>
      </c>
      <c r="K304" s="62"/>
      <c r="L304" s="62"/>
      <c r="M304" s="62"/>
      <c r="N304" s="63" t="e">
        <f>M304/L304</f>
        <v>#DIV/0!</v>
      </c>
      <c r="O304" s="66"/>
    </row>
    <row r="305" spans="1:15" x14ac:dyDescent="0.2">
      <c r="A305" s="4"/>
      <c r="B305" s="35" t="s">
        <v>624</v>
      </c>
      <c r="C305" s="2" t="s">
        <v>8</v>
      </c>
      <c r="D305" s="7">
        <v>23</v>
      </c>
      <c r="E305" s="7"/>
      <c r="F305" s="17">
        <v>51</v>
      </c>
      <c r="G305" s="17">
        <v>18</v>
      </c>
      <c r="H305" s="17">
        <v>606</v>
      </c>
      <c r="I305" s="16">
        <f>H305/(F305-G305)</f>
        <v>18.363636363636363</v>
      </c>
      <c r="J305" s="17">
        <v>67</v>
      </c>
      <c r="K305" s="25">
        <v>959.5</v>
      </c>
      <c r="L305" s="25">
        <v>187</v>
      </c>
      <c r="M305" s="25">
        <v>2582</v>
      </c>
      <c r="N305" s="24">
        <f>M305/L305</f>
        <v>13.807486631016042</v>
      </c>
      <c r="O305" s="23"/>
    </row>
    <row r="306" spans="1:15" s="6" customFormat="1" x14ac:dyDescent="0.2">
      <c r="A306" s="4"/>
      <c r="B306" s="35" t="s">
        <v>625</v>
      </c>
      <c r="C306" s="2" t="s">
        <v>337</v>
      </c>
      <c r="D306" s="7">
        <f>2+5+1+7+1+3+0+1+2+4+6</f>
        <v>32</v>
      </c>
      <c r="E306" s="7"/>
      <c r="F306" s="17">
        <f>2+11+1+13+2+4+2+6+8+5+5</f>
        <v>59</v>
      </c>
      <c r="G306" s="17">
        <f>0+2+0+0+0+1+4+4+2</f>
        <v>13</v>
      </c>
      <c r="H306" s="17">
        <f>198+1+125+8+6+11+31+42+27+35</f>
        <v>484</v>
      </c>
      <c r="I306" s="16">
        <f>H306/(F306-G306)</f>
        <v>10.521739130434783</v>
      </c>
      <c r="J306" s="17">
        <v>49</v>
      </c>
      <c r="K306" s="25">
        <f>13+104+9+141+17+99+13+110+126.4+129.8+126.3</f>
        <v>888.5</v>
      </c>
      <c r="L306" s="25">
        <f>2+25+47+6+21+2+10+21+20+24</f>
        <v>178</v>
      </c>
      <c r="M306" s="25">
        <f>63+273+16+231+62+234+41+414+366+404+446</f>
        <v>2550</v>
      </c>
      <c r="N306" s="24">
        <f>M306/L306</f>
        <v>14.325842696629213</v>
      </c>
      <c r="O306" s="23"/>
    </row>
    <row r="307" spans="1:15" s="54" customFormat="1" x14ac:dyDescent="0.2">
      <c r="A307" s="4"/>
      <c r="B307" s="34" t="s">
        <v>626</v>
      </c>
      <c r="C307" s="2" t="s">
        <v>29</v>
      </c>
      <c r="D307" s="7">
        <v>0</v>
      </c>
      <c r="E307" s="7"/>
      <c r="F307" s="17">
        <v>1</v>
      </c>
      <c r="G307" s="17">
        <v>0</v>
      </c>
      <c r="H307" s="17">
        <v>1</v>
      </c>
      <c r="I307" s="16">
        <f>H307/(F307-G307)</f>
        <v>1</v>
      </c>
      <c r="J307" s="17">
        <v>1</v>
      </c>
      <c r="K307" s="25">
        <v>0</v>
      </c>
      <c r="L307" s="25">
        <v>0</v>
      </c>
      <c r="M307" s="25">
        <v>0</v>
      </c>
      <c r="N307" s="24" t="e">
        <f>M307/L307</f>
        <v>#DIV/0!</v>
      </c>
      <c r="O307" s="23"/>
    </row>
    <row r="308" spans="1:15" s="54" customFormat="1" x14ac:dyDescent="0.2">
      <c r="A308" s="4"/>
      <c r="B308" s="34" t="s">
        <v>627</v>
      </c>
      <c r="C308" s="2" t="s">
        <v>247</v>
      </c>
      <c r="D308" s="7">
        <f>0</f>
        <v>0</v>
      </c>
      <c r="E308" s="7"/>
      <c r="F308" s="17">
        <f>3</f>
        <v>3</v>
      </c>
      <c r="G308" s="17">
        <f>0</f>
        <v>0</v>
      </c>
      <c r="H308" s="17">
        <f>0</f>
        <v>0</v>
      </c>
      <c r="I308" s="16">
        <f>H308/(F308-G308)</f>
        <v>0</v>
      </c>
      <c r="J308" s="17">
        <v>0</v>
      </c>
      <c r="K308" s="25">
        <f>0</f>
        <v>0</v>
      </c>
      <c r="L308" s="25">
        <f>0</f>
        <v>0</v>
      </c>
      <c r="M308" s="25">
        <f>0</f>
        <v>0</v>
      </c>
      <c r="N308" s="24" t="e">
        <f>M308/L308</f>
        <v>#DIV/0!</v>
      </c>
      <c r="O308" s="23"/>
    </row>
    <row r="309" spans="1:15" s="54" customFormat="1" x14ac:dyDescent="0.2">
      <c r="A309" s="4">
        <v>1757551</v>
      </c>
      <c r="B309" s="35" t="s">
        <v>1849</v>
      </c>
      <c r="C309" s="2" t="s">
        <v>1850</v>
      </c>
      <c r="D309" s="7">
        <f>7+4+8</f>
        <v>19</v>
      </c>
      <c r="E309" s="7">
        <f>0</f>
        <v>0</v>
      </c>
      <c r="F309" s="17">
        <f>11+16+12</f>
        <v>39</v>
      </c>
      <c r="G309" s="17">
        <f>1+0+1</f>
        <v>2</v>
      </c>
      <c r="H309" s="17">
        <f>164+309+306</f>
        <v>779</v>
      </c>
      <c r="I309" s="16">
        <f>H309/(F309-G309)</f>
        <v>21.054054054054053</v>
      </c>
      <c r="J309" s="17">
        <v>65</v>
      </c>
      <c r="K309" s="25">
        <f>73+82.3+72.1</f>
        <v>227.4</v>
      </c>
      <c r="L309" s="25">
        <f>10+16+18</f>
        <v>44</v>
      </c>
      <c r="M309" s="25">
        <f>183+310+286</f>
        <v>779</v>
      </c>
      <c r="N309" s="24">
        <f>M309/L309</f>
        <v>17.704545454545453</v>
      </c>
      <c r="O309" s="49" t="s">
        <v>2458</v>
      </c>
    </row>
    <row r="310" spans="1:15" s="54" customFormat="1" x14ac:dyDescent="0.2">
      <c r="A310" s="57">
        <v>242258</v>
      </c>
      <c r="B310" s="79" t="s">
        <v>1394</v>
      </c>
      <c r="C310" s="58" t="s">
        <v>139</v>
      </c>
      <c r="D310" s="59">
        <f>31+1+6+3+1+2+0+3+2+0+1+1+1</f>
        <v>52</v>
      </c>
      <c r="E310" s="59">
        <f>0+0+0</f>
        <v>0</v>
      </c>
      <c r="F310" s="60">
        <f>138+1+13+12+11+1+1+4+13+9+12+12+9+9+10+10+11</f>
        <v>276</v>
      </c>
      <c r="G310" s="60">
        <f>5+1+2+1+0+0+2+0+1+3+1</f>
        <v>16</v>
      </c>
      <c r="H310" s="60">
        <f>2133+2+383+231+369+39+30+46+201+187+333+391+340+117+104+149+177</f>
        <v>5232</v>
      </c>
      <c r="I310" s="61">
        <f>H310/(F310-G310)</f>
        <v>20.123076923076923</v>
      </c>
      <c r="J310" s="60" t="s">
        <v>2010</v>
      </c>
      <c r="K310" s="62">
        <f>72+5+69.1+36+82.4+94+7+38+50+53+3</f>
        <v>509.5</v>
      </c>
      <c r="L310" s="62">
        <f>10+29+8+19+20+4+14+7+16</f>
        <v>127</v>
      </c>
      <c r="M310" s="62">
        <f>251+17+196+130+219+217+35+99+147+209+24</f>
        <v>1544</v>
      </c>
      <c r="N310" s="63">
        <f>M310/L310</f>
        <v>12.15748031496063</v>
      </c>
      <c r="O310" s="66" t="s">
        <v>2265</v>
      </c>
    </row>
    <row r="311" spans="1:15" s="54" customFormat="1" x14ac:dyDescent="0.2">
      <c r="A311" s="84">
        <v>668614</v>
      </c>
      <c r="B311" s="85" t="s">
        <v>1528</v>
      </c>
      <c r="C311" s="2" t="s">
        <v>81</v>
      </c>
      <c r="D311" s="7">
        <f>0</f>
        <v>0</v>
      </c>
      <c r="E311" s="7">
        <f>0</f>
        <v>0</v>
      </c>
      <c r="F311" s="17">
        <f>1</f>
        <v>1</v>
      </c>
      <c r="G311" s="17">
        <f>1</f>
        <v>1</v>
      </c>
      <c r="H311" s="17">
        <f>27</f>
        <v>27</v>
      </c>
      <c r="I311" s="16" t="e">
        <f>H311/(F311-G311)</f>
        <v>#DIV/0!</v>
      </c>
      <c r="J311" s="17" t="s">
        <v>1611</v>
      </c>
      <c r="K311" s="25"/>
      <c r="L311" s="25"/>
      <c r="M311" s="25"/>
      <c r="N311" s="24" t="e">
        <f>M311/L311</f>
        <v>#DIV/0!</v>
      </c>
      <c r="O311" s="23"/>
    </row>
    <row r="312" spans="1:15" s="6" customFormat="1" x14ac:dyDescent="0.2">
      <c r="A312" s="4"/>
      <c r="B312" s="35" t="s">
        <v>628</v>
      </c>
      <c r="C312" s="2" t="s">
        <v>97</v>
      </c>
      <c r="D312" s="7">
        <f>5+11+1+7+11+1+7</f>
        <v>43</v>
      </c>
      <c r="E312" s="7"/>
      <c r="F312" s="17">
        <f>12+13+2+15+11+1+15</f>
        <v>69</v>
      </c>
      <c r="G312" s="17">
        <f>1+1+1+1+1</f>
        <v>5</v>
      </c>
      <c r="H312" s="17">
        <f>275+295+19+310+319+14+572</f>
        <v>1804</v>
      </c>
      <c r="I312" s="16">
        <f>H312/(F312-G312)</f>
        <v>28.1875</v>
      </c>
      <c r="J312" s="17">
        <v>90</v>
      </c>
      <c r="K312" s="25">
        <f>96+143+44+131+45.2+7+130</f>
        <v>596.20000000000005</v>
      </c>
      <c r="L312" s="25">
        <f>18+28+8+27+3+1+25</f>
        <v>110</v>
      </c>
      <c r="M312" s="25">
        <f>309+419+108+341+135+16+393</f>
        <v>1721</v>
      </c>
      <c r="N312" s="24">
        <f>M312/L312</f>
        <v>15.645454545454545</v>
      </c>
      <c r="O312" s="23"/>
    </row>
    <row r="313" spans="1:15" s="6" customFormat="1" x14ac:dyDescent="0.2">
      <c r="A313" s="4"/>
      <c r="B313" s="35" t="s">
        <v>629</v>
      </c>
      <c r="C313" s="2" t="s">
        <v>152</v>
      </c>
      <c r="D313" s="7">
        <f>1+1+2</f>
        <v>4</v>
      </c>
      <c r="E313" s="7"/>
      <c r="F313" s="17">
        <f>2+10+8</f>
        <v>20</v>
      </c>
      <c r="G313" s="17">
        <f>3+2</f>
        <v>5</v>
      </c>
      <c r="H313" s="17">
        <f>37+31</f>
        <v>68</v>
      </c>
      <c r="I313" s="16">
        <f>H313/(F313-G313)</f>
        <v>4.5333333333333332</v>
      </c>
      <c r="J313" s="17" t="s">
        <v>371</v>
      </c>
      <c r="K313" s="25">
        <f>1+1</f>
        <v>2</v>
      </c>
      <c r="L313" s="25">
        <v>0</v>
      </c>
      <c r="M313" s="25">
        <f>16+4</f>
        <v>20</v>
      </c>
      <c r="N313" s="24" t="e">
        <f>M313/L313</f>
        <v>#DIV/0!</v>
      </c>
      <c r="O313" s="23"/>
    </row>
    <row r="314" spans="1:15" s="5" customFormat="1" x14ac:dyDescent="0.2">
      <c r="A314" s="4"/>
      <c r="B314" s="35" t="s">
        <v>630</v>
      </c>
      <c r="C314" s="2" t="s">
        <v>43</v>
      </c>
      <c r="D314" s="7">
        <v>20</v>
      </c>
      <c r="E314" s="7"/>
      <c r="F314" s="17">
        <v>63</v>
      </c>
      <c r="G314" s="17">
        <v>14</v>
      </c>
      <c r="H314" s="17">
        <v>629</v>
      </c>
      <c r="I314" s="16">
        <f>H314/(F314-G314)</f>
        <v>12.836734693877551</v>
      </c>
      <c r="J314" s="17">
        <v>60</v>
      </c>
      <c r="K314" s="25">
        <v>618</v>
      </c>
      <c r="L314" s="25">
        <v>109</v>
      </c>
      <c r="M314" s="25">
        <v>1715</v>
      </c>
      <c r="N314" s="24">
        <f>M314/L314</f>
        <v>15.73394495412844</v>
      </c>
      <c r="O314" s="23"/>
    </row>
    <row r="315" spans="1:15" x14ac:dyDescent="0.2">
      <c r="A315" s="4">
        <v>1141719</v>
      </c>
      <c r="B315" s="51" t="s">
        <v>1485</v>
      </c>
      <c r="C315" s="2" t="s">
        <v>346</v>
      </c>
      <c r="D315" s="7">
        <f>0</f>
        <v>0</v>
      </c>
      <c r="E315" s="7">
        <f>0</f>
        <v>0</v>
      </c>
      <c r="F315" s="17"/>
      <c r="G315" s="17"/>
      <c r="H315" s="17"/>
      <c r="I315" s="16" t="e">
        <f>H315/(F315-G315)</f>
        <v>#DIV/0!</v>
      </c>
      <c r="J315" s="17"/>
      <c r="K315" s="25"/>
      <c r="L315" s="25"/>
      <c r="M315" s="25"/>
      <c r="N315" s="24" t="e">
        <f>M315/L315</f>
        <v>#DIV/0!</v>
      </c>
      <c r="O315" s="23"/>
    </row>
    <row r="316" spans="1:15" s="54" customFormat="1" x14ac:dyDescent="0.2">
      <c r="A316" s="57">
        <v>1749911</v>
      </c>
      <c r="B316" s="65" t="s">
        <v>2322</v>
      </c>
      <c r="C316" s="58" t="s">
        <v>2323</v>
      </c>
      <c r="D316" s="59">
        <f>10+6</f>
        <v>16</v>
      </c>
      <c r="E316" s="59">
        <f>0+0</f>
        <v>0</v>
      </c>
      <c r="F316" s="60">
        <f>14+13+2</f>
        <v>29</v>
      </c>
      <c r="G316" s="60">
        <f>4+2</f>
        <v>6</v>
      </c>
      <c r="H316" s="60">
        <f>190+192+110</f>
        <v>492</v>
      </c>
      <c r="I316" s="61">
        <f>H316/(F316-G316)</f>
        <v>21.391304347826086</v>
      </c>
      <c r="J316" s="60">
        <v>101</v>
      </c>
      <c r="K316" s="62">
        <f>59+48+15.4+13</f>
        <v>135.4</v>
      </c>
      <c r="L316" s="62">
        <f>9+13+5+5</f>
        <v>32</v>
      </c>
      <c r="M316" s="62">
        <f>166+130+27+30</f>
        <v>353</v>
      </c>
      <c r="N316" s="63">
        <f>M316/L316</f>
        <v>11.03125</v>
      </c>
      <c r="O316" s="66" t="s">
        <v>2475</v>
      </c>
    </row>
    <row r="317" spans="1:15" s="54" customFormat="1" x14ac:dyDescent="0.2">
      <c r="A317" s="4">
        <v>1927802</v>
      </c>
      <c r="B317" s="35" t="s">
        <v>2081</v>
      </c>
      <c r="C317" s="2" t="s">
        <v>2082</v>
      </c>
      <c r="D317" s="7">
        <f>2</f>
        <v>2</v>
      </c>
      <c r="E317" s="7"/>
      <c r="F317" s="17">
        <f>13</f>
        <v>13</v>
      </c>
      <c r="G317" s="17">
        <f>9</f>
        <v>9</v>
      </c>
      <c r="H317" s="17">
        <f>62</f>
        <v>62</v>
      </c>
      <c r="I317" s="16">
        <f>H317/(F317-G317)</f>
        <v>15.5</v>
      </c>
      <c r="J317" s="17" t="s">
        <v>279</v>
      </c>
      <c r="K317" s="25">
        <f>30</f>
        <v>30</v>
      </c>
      <c r="L317" s="25">
        <f>6</f>
        <v>6</v>
      </c>
      <c r="M317" s="25">
        <f>141</f>
        <v>141</v>
      </c>
      <c r="N317" s="24">
        <f>M317/L317</f>
        <v>23.5</v>
      </c>
      <c r="O317" s="49" t="s">
        <v>1392</v>
      </c>
    </row>
    <row r="318" spans="1:15" x14ac:dyDescent="0.2">
      <c r="A318" s="4"/>
      <c r="B318" s="35" t="s">
        <v>631</v>
      </c>
      <c r="C318" s="2" t="s">
        <v>9</v>
      </c>
      <c r="D318" s="7">
        <f>3+2</f>
        <v>5</v>
      </c>
      <c r="E318" s="7"/>
      <c r="F318" s="17">
        <f>7+3+7</f>
        <v>17</v>
      </c>
      <c r="G318" s="17">
        <f>1+2+1</f>
        <v>4</v>
      </c>
      <c r="H318" s="17">
        <f>8+12+8</f>
        <v>28</v>
      </c>
      <c r="I318" s="16">
        <f>H318/(F318-G318)</f>
        <v>2.1538461538461537</v>
      </c>
      <c r="J318" s="17" t="s">
        <v>281</v>
      </c>
      <c r="K318" s="25">
        <f>5+3</f>
        <v>8</v>
      </c>
      <c r="L318" s="25">
        <v>2</v>
      </c>
      <c r="M318" s="25">
        <f>15+9</f>
        <v>24</v>
      </c>
      <c r="N318" s="24">
        <f>M318/L318</f>
        <v>12</v>
      </c>
      <c r="O318" s="23"/>
    </row>
    <row r="319" spans="1:15" s="54" customFormat="1" x14ac:dyDescent="0.2">
      <c r="A319" s="4"/>
      <c r="B319" s="34" t="s">
        <v>632</v>
      </c>
      <c r="C319" s="2" t="s">
        <v>296</v>
      </c>
      <c r="D319" s="7">
        <f>4</f>
        <v>4</v>
      </c>
      <c r="E319" s="7"/>
      <c r="F319" s="17">
        <f>11</f>
        <v>11</v>
      </c>
      <c r="G319" s="17">
        <f>2</f>
        <v>2</v>
      </c>
      <c r="H319" s="17">
        <f>112</f>
        <v>112</v>
      </c>
      <c r="I319" s="16">
        <f>H319/(F319-G319)</f>
        <v>12.444444444444445</v>
      </c>
      <c r="J319" s="17">
        <v>69</v>
      </c>
      <c r="K319" s="25">
        <f>38</f>
        <v>38</v>
      </c>
      <c r="L319" s="25">
        <f>8</f>
        <v>8</v>
      </c>
      <c r="M319" s="25">
        <f>129</f>
        <v>129</v>
      </c>
      <c r="N319" s="24">
        <f>M319/L319</f>
        <v>16.125</v>
      </c>
      <c r="O319" s="23"/>
    </row>
    <row r="320" spans="1:15" s="5" customFormat="1" x14ac:dyDescent="0.2">
      <c r="A320" s="4"/>
      <c r="B320" s="35" t="s">
        <v>633</v>
      </c>
      <c r="C320" s="2" t="s">
        <v>11</v>
      </c>
      <c r="D320" s="8">
        <v>75</v>
      </c>
      <c r="E320" s="7">
        <v>4</v>
      </c>
      <c r="F320" s="17">
        <v>105</v>
      </c>
      <c r="G320" s="17">
        <v>9</v>
      </c>
      <c r="H320" s="17">
        <v>2199</v>
      </c>
      <c r="I320" s="16">
        <f>H320/(F320-G320)</f>
        <v>22.90625</v>
      </c>
      <c r="J320" s="17" t="s">
        <v>405</v>
      </c>
      <c r="K320" s="25">
        <v>6</v>
      </c>
      <c r="L320" s="25">
        <v>1</v>
      </c>
      <c r="M320" s="25">
        <v>38</v>
      </c>
      <c r="N320" s="24">
        <f>M320/L320</f>
        <v>38</v>
      </c>
      <c r="O320" s="23"/>
    </row>
    <row r="321" spans="1:15" s="5" customFormat="1" x14ac:dyDescent="0.2">
      <c r="A321" s="57">
        <v>2237024</v>
      </c>
      <c r="B321" s="65" t="s">
        <v>2611</v>
      </c>
      <c r="C321" s="58" t="s">
        <v>2612</v>
      </c>
      <c r="D321" s="59">
        <f>1+1</f>
        <v>2</v>
      </c>
      <c r="E321" s="59">
        <v>0</v>
      </c>
      <c r="F321" s="60">
        <f>5+10</f>
        <v>15</v>
      </c>
      <c r="G321" s="60">
        <v>2</v>
      </c>
      <c r="H321" s="60">
        <f>2+184</f>
        <v>186</v>
      </c>
      <c r="I321" s="61">
        <f>H321/(F321-G321)</f>
        <v>14.307692307692308</v>
      </c>
      <c r="J321" s="60">
        <v>125</v>
      </c>
      <c r="K321" s="62">
        <f>37+24</f>
        <v>61</v>
      </c>
      <c r="L321" s="62">
        <f>5+7</f>
        <v>12</v>
      </c>
      <c r="M321" s="62">
        <f>145+70</f>
        <v>215</v>
      </c>
      <c r="N321" s="63">
        <f>M321/L321</f>
        <v>17.916666666666668</v>
      </c>
      <c r="O321" s="66" t="s">
        <v>2037</v>
      </c>
    </row>
    <row r="322" spans="1:15" x14ac:dyDescent="0.2">
      <c r="A322" s="4">
        <v>2133103</v>
      </c>
      <c r="B322" s="35" t="s">
        <v>2324</v>
      </c>
      <c r="C322" s="2" t="s">
        <v>1541</v>
      </c>
      <c r="D322" s="7">
        <f>0+0</f>
        <v>0</v>
      </c>
      <c r="E322" s="7">
        <f>0+0</f>
        <v>0</v>
      </c>
      <c r="F322" s="17">
        <f>4+2</f>
        <v>6</v>
      </c>
      <c r="G322" s="17">
        <f>1+0</f>
        <v>1</v>
      </c>
      <c r="H322" s="17">
        <f>25+5</f>
        <v>30</v>
      </c>
      <c r="I322" s="16">
        <f>H322/(F322-G322)</f>
        <v>6</v>
      </c>
      <c r="J322" s="17" t="s">
        <v>2447</v>
      </c>
      <c r="K322" s="25">
        <f>7+2</f>
        <v>9</v>
      </c>
      <c r="L322" s="25">
        <f>2+0</f>
        <v>2</v>
      </c>
      <c r="M322" s="25">
        <f>33+4</f>
        <v>37</v>
      </c>
      <c r="N322" s="24">
        <f>M322/L322</f>
        <v>18.5</v>
      </c>
      <c r="O322" s="49" t="s">
        <v>1370</v>
      </c>
    </row>
    <row r="323" spans="1:15" s="5" customFormat="1" x14ac:dyDescent="0.2">
      <c r="A323" s="4">
        <v>876604</v>
      </c>
      <c r="B323" s="35" t="s">
        <v>2083</v>
      </c>
      <c r="C323" s="2" t="s">
        <v>2084</v>
      </c>
      <c r="D323" s="7">
        <f>1+3+1</f>
        <v>5</v>
      </c>
      <c r="E323" s="7">
        <f>0+0</f>
        <v>0</v>
      </c>
      <c r="F323" s="17">
        <f>5+5+5</f>
        <v>15</v>
      </c>
      <c r="G323" s="17">
        <f>2+2+1</f>
        <v>5</v>
      </c>
      <c r="H323" s="17">
        <f>21+36+91</f>
        <v>148</v>
      </c>
      <c r="I323" s="16">
        <f>H323/(F323-G323)</f>
        <v>14.8</v>
      </c>
      <c r="J323" s="17">
        <v>41</v>
      </c>
      <c r="K323" s="25">
        <f>31+24.4+24</f>
        <v>79.400000000000006</v>
      </c>
      <c r="L323" s="25">
        <f>4+4+3</f>
        <v>11</v>
      </c>
      <c r="M323" s="25">
        <f>93+158+84</f>
        <v>335</v>
      </c>
      <c r="N323" s="24">
        <f>M323/L323</f>
        <v>30.454545454545453</v>
      </c>
      <c r="O323" s="49" t="s">
        <v>1799</v>
      </c>
    </row>
    <row r="324" spans="1:15" x14ac:dyDescent="0.2">
      <c r="A324" s="84">
        <v>1608112</v>
      </c>
      <c r="B324" s="35" t="s">
        <v>1681</v>
      </c>
      <c r="C324" s="2" t="s">
        <v>1682</v>
      </c>
      <c r="D324" s="7">
        <f>8+1+1</f>
        <v>10</v>
      </c>
      <c r="E324" s="7">
        <f>0</f>
        <v>0</v>
      </c>
      <c r="F324" s="17">
        <f>15+9+5</f>
        <v>29</v>
      </c>
      <c r="G324" s="17">
        <f>1+0+0</f>
        <v>1</v>
      </c>
      <c r="H324" s="17">
        <f>460+153+31</f>
        <v>644</v>
      </c>
      <c r="I324" s="16">
        <f>H324/(F324-G324)</f>
        <v>23</v>
      </c>
      <c r="J324" s="17">
        <v>93</v>
      </c>
      <c r="K324" s="25">
        <f>60.5+40.4+(0.4)+3</f>
        <v>104.30000000000001</v>
      </c>
      <c r="L324" s="25">
        <f>17+13+0</f>
        <v>30</v>
      </c>
      <c r="M324" s="25">
        <f>161+91+23</f>
        <v>275</v>
      </c>
      <c r="N324" s="24">
        <f>M324/L324</f>
        <v>9.1666666666666661</v>
      </c>
      <c r="O324" s="49" t="s">
        <v>1790</v>
      </c>
    </row>
    <row r="325" spans="1:15" x14ac:dyDescent="0.2">
      <c r="A325" s="4">
        <v>1915253</v>
      </c>
      <c r="B325" s="35" t="s">
        <v>2085</v>
      </c>
      <c r="C325" s="2" t="s">
        <v>2086</v>
      </c>
      <c r="D325" s="7">
        <f>0</f>
        <v>0</v>
      </c>
      <c r="E325" s="7"/>
      <c r="F325" s="17">
        <f>1</f>
        <v>1</v>
      </c>
      <c r="G325" s="17">
        <f>0</f>
        <v>0</v>
      </c>
      <c r="H325" s="17">
        <f>1</f>
        <v>1</v>
      </c>
      <c r="I325" s="16">
        <f>H325/(F325-G325)</f>
        <v>1</v>
      </c>
      <c r="J325" s="17">
        <v>1</v>
      </c>
      <c r="K325" s="25">
        <f>1</f>
        <v>1</v>
      </c>
      <c r="L325" s="25">
        <f>0</f>
        <v>0</v>
      </c>
      <c r="M325" s="25">
        <f>3</f>
        <v>3</v>
      </c>
      <c r="N325" s="24" t="e">
        <f>M325/L325</f>
        <v>#DIV/0!</v>
      </c>
      <c r="O325" s="49" t="s">
        <v>1382</v>
      </c>
    </row>
    <row r="326" spans="1:15" s="54" customFormat="1" x14ac:dyDescent="0.2">
      <c r="A326" s="84">
        <v>1066535</v>
      </c>
      <c r="B326" s="85" t="s">
        <v>1529</v>
      </c>
      <c r="C326" s="2" t="s">
        <v>86</v>
      </c>
      <c r="D326" s="7">
        <f>0</f>
        <v>0</v>
      </c>
      <c r="E326" s="7">
        <f>0</f>
        <v>0</v>
      </c>
      <c r="F326" s="17">
        <f>1</f>
        <v>1</v>
      </c>
      <c r="G326" s="17">
        <f>1</f>
        <v>1</v>
      </c>
      <c r="H326" s="17">
        <f>0</f>
        <v>0</v>
      </c>
      <c r="I326" s="16" t="e">
        <f>H326/(F326-G326)</f>
        <v>#DIV/0!</v>
      </c>
      <c r="J326" s="17" t="s">
        <v>372</v>
      </c>
      <c r="K326" s="25"/>
      <c r="L326" s="25"/>
      <c r="M326" s="25"/>
      <c r="N326" s="24" t="e">
        <f>M326/L326</f>
        <v>#DIV/0!</v>
      </c>
      <c r="O326" s="23"/>
    </row>
    <row r="327" spans="1:15" x14ac:dyDescent="0.2">
      <c r="A327" s="4"/>
      <c r="B327" s="35" t="s">
        <v>634</v>
      </c>
      <c r="C327" s="2" t="s">
        <v>12</v>
      </c>
      <c r="D327" s="7">
        <f>4+2</f>
        <v>6</v>
      </c>
      <c r="E327" s="7"/>
      <c r="F327" s="17">
        <f>10+1+7</f>
        <v>18</v>
      </c>
      <c r="G327" s="17">
        <f>2+2</f>
        <v>4</v>
      </c>
      <c r="H327" s="17">
        <f>63+5</f>
        <v>68</v>
      </c>
      <c r="I327" s="16">
        <f>H327/(F327-G327)</f>
        <v>4.8571428571428568</v>
      </c>
      <c r="J327" s="17">
        <v>25</v>
      </c>
      <c r="K327" s="25">
        <f>33+5+53</f>
        <v>91</v>
      </c>
      <c r="L327" s="25">
        <f>6+2+9</f>
        <v>17</v>
      </c>
      <c r="M327" s="25">
        <f>79+2+99</f>
        <v>180</v>
      </c>
      <c r="N327" s="24">
        <f>M327/L327</f>
        <v>10.588235294117647</v>
      </c>
      <c r="O327" s="23"/>
    </row>
    <row r="328" spans="1:15" s="54" customFormat="1" x14ac:dyDescent="0.2">
      <c r="A328" s="4"/>
      <c r="B328" s="35" t="s">
        <v>635</v>
      </c>
      <c r="C328" s="2" t="s">
        <v>9</v>
      </c>
      <c r="D328" s="7">
        <v>1</v>
      </c>
      <c r="E328" s="7"/>
      <c r="F328" s="17">
        <v>4</v>
      </c>
      <c r="G328" s="17">
        <v>1</v>
      </c>
      <c r="H328" s="17">
        <v>0</v>
      </c>
      <c r="I328" s="16">
        <f>H328/(F328-G328)</f>
        <v>0</v>
      </c>
      <c r="J328" s="17">
        <v>0</v>
      </c>
      <c r="K328" s="25">
        <v>6</v>
      </c>
      <c r="L328" s="25">
        <v>1</v>
      </c>
      <c r="M328" s="25">
        <v>13</v>
      </c>
      <c r="N328" s="24">
        <f>M328/L328</f>
        <v>13</v>
      </c>
      <c r="O328" s="23"/>
    </row>
    <row r="329" spans="1:15" s="54" customFormat="1" x14ac:dyDescent="0.2">
      <c r="A329" s="4"/>
      <c r="B329" s="35" t="s">
        <v>636</v>
      </c>
      <c r="C329" s="2" t="s">
        <v>10</v>
      </c>
      <c r="D329" s="7">
        <v>2</v>
      </c>
      <c r="E329" s="7"/>
      <c r="F329" s="17">
        <v>9</v>
      </c>
      <c r="G329" s="17"/>
      <c r="H329" s="17">
        <v>154</v>
      </c>
      <c r="I329" s="16">
        <f>H329/(F329-G329)</f>
        <v>17.111111111111111</v>
      </c>
      <c r="J329" s="17">
        <v>67</v>
      </c>
      <c r="K329" s="25"/>
      <c r="L329" s="25"/>
      <c r="M329" s="25"/>
      <c r="N329" s="24" t="e">
        <f>M329/L329</f>
        <v>#DIV/0!</v>
      </c>
      <c r="O329" s="23"/>
    </row>
    <row r="330" spans="1:15" x14ac:dyDescent="0.2">
      <c r="A330" s="4"/>
      <c r="B330" s="35" t="s">
        <v>637</v>
      </c>
      <c r="C330" s="2" t="s">
        <v>59</v>
      </c>
      <c r="D330" s="7">
        <f>92+2+4+5+1</f>
        <v>104</v>
      </c>
      <c r="E330" s="7"/>
      <c r="F330" s="17">
        <f>135+6+1+7+1+9+1+3+10+2+1</f>
        <v>176</v>
      </c>
      <c r="G330" s="17">
        <f>4+1+3+1+1</f>
        <v>10</v>
      </c>
      <c r="H330" s="17">
        <f>3265+40+11+200+39+223+24+11+218+82+1</f>
        <v>4114</v>
      </c>
      <c r="I330" s="16">
        <f>H330/(F330-G330)</f>
        <v>24.783132530120483</v>
      </c>
      <c r="J330" s="17">
        <v>105</v>
      </c>
      <c r="K330" s="25">
        <v>17</v>
      </c>
      <c r="L330" s="25">
        <v>6</v>
      </c>
      <c r="M330" s="25">
        <v>71</v>
      </c>
      <c r="N330" s="24">
        <f>M330/L330</f>
        <v>11.833333333333334</v>
      </c>
      <c r="O330" s="23"/>
    </row>
    <row r="331" spans="1:15" x14ac:dyDescent="0.2">
      <c r="A331" s="4"/>
      <c r="B331" s="35" t="s">
        <v>638</v>
      </c>
      <c r="C331" s="2" t="s">
        <v>51</v>
      </c>
      <c r="D331" s="7">
        <f>1+2+2+1</f>
        <v>6</v>
      </c>
      <c r="E331" s="7"/>
      <c r="F331" s="17">
        <f>12+13+9+10+6</f>
        <v>50</v>
      </c>
      <c r="G331" s="17">
        <f>1+4+1+1</f>
        <v>7</v>
      </c>
      <c r="H331" s="17">
        <f>71+122+84+24+55</f>
        <v>356</v>
      </c>
      <c r="I331" s="16">
        <f>H331/(F331-G331)</f>
        <v>8.279069767441861</v>
      </c>
      <c r="J331" s="17">
        <v>42</v>
      </c>
      <c r="K331" s="25">
        <f>158.4+138+120+94+63</f>
        <v>573.4</v>
      </c>
      <c r="L331" s="25">
        <f>29+31+22+18+9</f>
        <v>109</v>
      </c>
      <c r="M331" s="25">
        <f>335+384+404+238+213</f>
        <v>1574</v>
      </c>
      <c r="N331" s="24">
        <f>M331/L331</f>
        <v>14.440366972477063</v>
      </c>
      <c r="O331" s="23"/>
    </row>
    <row r="332" spans="1:15" s="5" customFormat="1" x14ac:dyDescent="0.2">
      <c r="A332" s="4"/>
      <c r="B332" s="35" t="s">
        <v>639</v>
      </c>
      <c r="C332" s="2" t="s">
        <v>70</v>
      </c>
      <c r="D332" s="7">
        <f>5+1+8+1+1+5+7</f>
        <v>28</v>
      </c>
      <c r="E332" s="7"/>
      <c r="F332" s="17">
        <f>10+3+10+2+11+1+12+10+12+1</f>
        <v>72</v>
      </c>
      <c r="G332" s="17">
        <f>2+2+3+1+2+1</f>
        <v>11</v>
      </c>
      <c r="H332" s="17">
        <f>52+12+105+9+70+12+162+59+99+2</f>
        <v>582</v>
      </c>
      <c r="I332" s="16">
        <f>H332/(F332-G332)</f>
        <v>9.5409836065573774</v>
      </c>
      <c r="J332" s="17" t="s">
        <v>406</v>
      </c>
      <c r="K332" s="25">
        <f>30+26+41+7+43+68.5+46+6</f>
        <v>267.5</v>
      </c>
      <c r="L332" s="25">
        <f>6+11+9+1+13+8+11</f>
        <v>59</v>
      </c>
      <c r="M332" s="25">
        <f>175+93+142+26+160+310+220+24</f>
        <v>1150</v>
      </c>
      <c r="N332" s="24">
        <f>M332/L332</f>
        <v>19.491525423728813</v>
      </c>
      <c r="O332" s="23"/>
    </row>
    <row r="333" spans="1:15" x14ac:dyDescent="0.2">
      <c r="A333" s="4"/>
      <c r="B333" s="35" t="s">
        <v>640</v>
      </c>
      <c r="C333" s="2" t="s">
        <v>130</v>
      </c>
      <c r="D333" s="7">
        <f>1+1+60</f>
        <v>62</v>
      </c>
      <c r="E333" s="7"/>
      <c r="F333" s="17">
        <f>3+3+1+196</f>
        <v>203</v>
      </c>
      <c r="G333" s="17">
        <f>1+42</f>
        <v>43</v>
      </c>
      <c r="H333" s="17">
        <f>19+26+30+1574</f>
        <v>1649</v>
      </c>
      <c r="I333" s="16">
        <f>H333/(F333-G333)</f>
        <v>10.30625</v>
      </c>
      <c r="J333" s="17">
        <v>51</v>
      </c>
      <c r="K333" s="25">
        <f>15+9+723.5</f>
        <v>747.5</v>
      </c>
      <c r="L333" s="25">
        <f>5+1+171</f>
        <v>177</v>
      </c>
      <c r="M333" s="25">
        <f>51+31+2777</f>
        <v>2859</v>
      </c>
      <c r="N333" s="24">
        <f>M333/L333</f>
        <v>16.152542372881356</v>
      </c>
      <c r="O333" s="23"/>
    </row>
    <row r="334" spans="1:15" s="54" customFormat="1" x14ac:dyDescent="0.2">
      <c r="A334" s="4">
        <v>701923</v>
      </c>
      <c r="B334" s="35" t="s">
        <v>1316</v>
      </c>
      <c r="C334" s="2" t="s">
        <v>342</v>
      </c>
      <c r="D334" s="7">
        <f>23+4+2+12+8+4+1+7+2+4+6+5+15+6+6+6</f>
        <v>111</v>
      </c>
      <c r="E334" s="7">
        <f>0+0+0+0</f>
        <v>0</v>
      </c>
      <c r="F334" s="17">
        <f>56+8+5+1+12+17+7+1+12+15+10+1+12+13+14+15+12+15+12</f>
        <v>238</v>
      </c>
      <c r="G334" s="17">
        <f>13+1+3+2+1+3+1+3+2+2+1+4+4+4</f>
        <v>44</v>
      </c>
      <c r="H334" s="17">
        <f>1304+239+64+1+163+249+389+25+67+148+46+14+263+273+424+423+438+528+315</f>
        <v>5373</v>
      </c>
      <c r="I334" s="16">
        <f>H334/(F334-G334)</f>
        <v>27.695876288659793</v>
      </c>
      <c r="J334" s="17">
        <v>142</v>
      </c>
      <c r="K334" s="25">
        <f>541+69+28+10+104+167+59+8+94+149+87+31+16+2+1+1</f>
        <v>1367</v>
      </c>
      <c r="L334" s="25">
        <f>111+12+3+3+18+40+11+3+15+18+9+5+1+0+1+0</f>
        <v>250</v>
      </c>
      <c r="M334" s="25">
        <f>1096+134+101+15+275+554+119+13+362+435+303+76+72+6+11+0</f>
        <v>3572</v>
      </c>
      <c r="N334" s="24">
        <f>M334/L334</f>
        <v>14.288</v>
      </c>
      <c r="O334" s="49" t="s">
        <v>1640</v>
      </c>
    </row>
    <row r="335" spans="1:15" s="54" customFormat="1" x14ac:dyDescent="0.2">
      <c r="A335" s="84">
        <v>1441063</v>
      </c>
      <c r="B335" s="85" t="s">
        <v>1530</v>
      </c>
      <c r="C335" s="2" t="s">
        <v>1612</v>
      </c>
      <c r="D335" s="7">
        <f>0+0</f>
        <v>0</v>
      </c>
      <c r="E335" s="7">
        <f>0+0</f>
        <v>0</v>
      </c>
      <c r="F335" s="17">
        <f>4+1</f>
        <v>5</v>
      </c>
      <c r="G335" s="17">
        <f>0+0</f>
        <v>0</v>
      </c>
      <c r="H335" s="17">
        <f>20+0</f>
        <v>20</v>
      </c>
      <c r="I335" s="16">
        <f>H335/(F335-G335)</f>
        <v>4</v>
      </c>
      <c r="J335" s="17">
        <v>8</v>
      </c>
      <c r="K335" s="25">
        <f>21</f>
        <v>21</v>
      </c>
      <c r="L335" s="25">
        <f>6</f>
        <v>6</v>
      </c>
      <c r="M335" s="25">
        <f>81</f>
        <v>81</v>
      </c>
      <c r="N335" s="24">
        <f>M335/L335</f>
        <v>13.5</v>
      </c>
      <c r="O335" s="49" t="s">
        <v>1626</v>
      </c>
    </row>
    <row r="336" spans="1:15" s="5" customFormat="1" x14ac:dyDescent="0.2">
      <c r="A336" s="84">
        <v>665867</v>
      </c>
      <c r="B336" s="85" t="s">
        <v>1531</v>
      </c>
      <c r="C336" s="2" t="s">
        <v>174</v>
      </c>
      <c r="D336" s="7">
        <f>7+6+2+4+0</f>
        <v>19</v>
      </c>
      <c r="E336" s="7">
        <f>0+0</f>
        <v>0</v>
      </c>
      <c r="F336" s="17">
        <f>11+10+7+11+3</f>
        <v>42</v>
      </c>
      <c r="G336" s="17">
        <f>1+0+0+1+0</f>
        <v>2</v>
      </c>
      <c r="H336" s="17">
        <f>167+241+47+63+5</f>
        <v>523</v>
      </c>
      <c r="I336" s="16">
        <f>H336/(F336-G336)</f>
        <v>13.074999999999999</v>
      </c>
      <c r="J336" s="17">
        <v>81</v>
      </c>
      <c r="K336" s="25">
        <f>78.3+69+40+42+6</f>
        <v>235.3</v>
      </c>
      <c r="L336" s="25">
        <f>17+9+6+12+1</f>
        <v>45</v>
      </c>
      <c r="M336" s="25">
        <f>223+211+100+134+37</f>
        <v>705</v>
      </c>
      <c r="N336" s="24">
        <f>M336/L336</f>
        <v>15.666666666666666</v>
      </c>
      <c r="O336" s="49" t="s">
        <v>2266</v>
      </c>
    </row>
    <row r="337" spans="1:15" s="5" customFormat="1" x14ac:dyDescent="0.2">
      <c r="A337" s="4"/>
      <c r="B337" s="35" t="s">
        <v>641</v>
      </c>
      <c r="C337" s="2" t="s">
        <v>131</v>
      </c>
      <c r="D337" s="7">
        <v>9</v>
      </c>
      <c r="E337" s="7"/>
      <c r="F337" s="17">
        <v>25</v>
      </c>
      <c r="G337" s="17">
        <v>7</v>
      </c>
      <c r="H337" s="17">
        <v>241</v>
      </c>
      <c r="I337" s="16">
        <f>H337/(F337-G337)</f>
        <v>13.388888888888889</v>
      </c>
      <c r="J337" s="17">
        <v>30</v>
      </c>
      <c r="K337" s="25">
        <v>341</v>
      </c>
      <c r="L337" s="25">
        <v>68</v>
      </c>
      <c r="M337" s="25">
        <v>1068</v>
      </c>
      <c r="N337" s="24">
        <f>M337/L337</f>
        <v>15.705882352941176</v>
      </c>
      <c r="O337" s="23"/>
    </row>
    <row r="338" spans="1:15" s="5" customFormat="1" x14ac:dyDescent="0.2">
      <c r="A338" s="4"/>
      <c r="B338" s="35" t="s">
        <v>642</v>
      </c>
      <c r="C338" s="2" t="s">
        <v>101</v>
      </c>
      <c r="D338" s="7">
        <f>28+0</f>
        <v>28</v>
      </c>
      <c r="E338" s="7"/>
      <c r="F338" s="17">
        <f>90+1+1+2</f>
        <v>94</v>
      </c>
      <c r="G338" s="17">
        <f>3+0+0+0</f>
        <v>3</v>
      </c>
      <c r="H338" s="17">
        <f>1438+21+23</f>
        <v>1482</v>
      </c>
      <c r="I338" s="16">
        <f>H338/(F338-G338)</f>
        <v>16.285714285714285</v>
      </c>
      <c r="J338" s="17">
        <v>96</v>
      </c>
      <c r="K338" s="25">
        <v>14</v>
      </c>
      <c r="L338" s="25">
        <v>4</v>
      </c>
      <c r="M338" s="25">
        <v>76</v>
      </c>
      <c r="N338" s="24">
        <f>M338/L338</f>
        <v>19</v>
      </c>
      <c r="O338" s="23"/>
    </row>
    <row r="339" spans="1:15" s="5" customFormat="1" x14ac:dyDescent="0.2">
      <c r="A339" s="4">
        <v>1120947</v>
      </c>
      <c r="B339" s="51" t="s">
        <v>1483</v>
      </c>
      <c r="C339" s="2" t="s">
        <v>1491</v>
      </c>
      <c r="D339" s="7">
        <f>0+0</f>
        <v>0</v>
      </c>
      <c r="E339" s="7">
        <f>0</f>
        <v>0</v>
      </c>
      <c r="F339" s="17">
        <f>4+1</f>
        <v>5</v>
      </c>
      <c r="G339" s="17">
        <f>0+0</f>
        <v>0</v>
      </c>
      <c r="H339" s="17">
        <f>1+18</f>
        <v>19</v>
      </c>
      <c r="I339" s="16">
        <f>H339/(F339-G339)</f>
        <v>3.8</v>
      </c>
      <c r="J339" s="17">
        <v>18</v>
      </c>
      <c r="K339" s="25">
        <f>2</f>
        <v>2</v>
      </c>
      <c r="L339" s="25">
        <f>1</f>
        <v>1</v>
      </c>
      <c r="M339" s="25">
        <f>1</f>
        <v>1</v>
      </c>
      <c r="N339" s="24">
        <f>M339/L339</f>
        <v>1</v>
      </c>
      <c r="O339" s="49" t="s">
        <v>1628</v>
      </c>
    </row>
    <row r="340" spans="1:15" s="54" customFormat="1" x14ac:dyDescent="0.2">
      <c r="A340" s="4">
        <v>975217</v>
      </c>
      <c r="B340" s="34" t="s">
        <v>1340</v>
      </c>
      <c r="C340" s="4" t="s">
        <v>1429</v>
      </c>
      <c r="D340" s="7">
        <f>6+1+2+2+0</f>
        <v>11</v>
      </c>
      <c r="E340" s="7">
        <f>0+0+0+1</f>
        <v>1</v>
      </c>
      <c r="F340" s="17">
        <f>13+9+13+13+5</f>
        <v>53</v>
      </c>
      <c r="G340" s="17">
        <f>0+1+0+1+0</f>
        <v>2</v>
      </c>
      <c r="H340" s="17">
        <f>109+88+216+327+12</f>
        <v>752</v>
      </c>
      <c r="I340" s="16">
        <f>H340/(F340-G340)</f>
        <v>14.745098039215685</v>
      </c>
      <c r="J340" s="17">
        <v>109</v>
      </c>
      <c r="K340" s="25">
        <f>62.4+23+29.4+(0.4)+22</f>
        <v>137.20000000000002</v>
      </c>
      <c r="L340" s="25">
        <f>16+4+4+4</f>
        <v>28</v>
      </c>
      <c r="M340" s="25">
        <f>256+65+118+97</f>
        <v>536</v>
      </c>
      <c r="N340" s="24">
        <f>M340/L340</f>
        <v>19.142857142857142</v>
      </c>
      <c r="O340" s="49" t="s">
        <v>1360</v>
      </c>
    </row>
    <row r="341" spans="1:15" x14ac:dyDescent="0.2">
      <c r="A341" s="4"/>
      <c r="B341" s="35" t="s">
        <v>643</v>
      </c>
      <c r="C341" s="2" t="s">
        <v>91</v>
      </c>
      <c r="D341" s="7">
        <v>1</v>
      </c>
      <c r="E341" s="7"/>
      <c r="F341" s="17">
        <v>9</v>
      </c>
      <c r="G341" s="17">
        <v>2</v>
      </c>
      <c r="H341" s="17">
        <v>78</v>
      </c>
      <c r="I341" s="16">
        <f>H341/(F341-G341)</f>
        <v>11.142857142857142</v>
      </c>
      <c r="J341" s="17">
        <v>24</v>
      </c>
      <c r="K341" s="25">
        <v>8</v>
      </c>
      <c r="L341" s="25">
        <v>0</v>
      </c>
      <c r="M341" s="25">
        <v>54</v>
      </c>
      <c r="N341" s="24" t="e">
        <f>M341/L341</f>
        <v>#DIV/0!</v>
      </c>
      <c r="O341" s="23"/>
    </row>
    <row r="342" spans="1:15" s="54" customFormat="1" x14ac:dyDescent="0.2">
      <c r="A342" s="4"/>
      <c r="B342" s="35" t="s">
        <v>644</v>
      </c>
      <c r="C342" s="2" t="s">
        <v>19</v>
      </c>
      <c r="D342" s="7">
        <v>7</v>
      </c>
      <c r="E342" s="7"/>
      <c r="F342" s="17">
        <v>12</v>
      </c>
      <c r="G342" s="17">
        <v>3</v>
      </c>
      <c r="H342" s="17">
        <v>198</v>
      </c>
      <c r="I342" s="16">
        <f>H342/(F342-G342)</f>
        <v>22</v>
      </c>
      <c r="J342" s="17" t="s">
        <v>407</v>
      </c>
      <c r="K342" s="25">
        <v>68</v>
      </c>
      <c r="L342" s="25">
        <v>19</v>
      </c>
      <c r="M342" s="25">
        <v>365</v>
      </c>
      <c r="N342" s="24">
        <f>M342/L342</f>
        <v>19.210526315789473</v>
      </c>
      <c r="O342" s="23"/>
    </row>
    <row r="343" spans="1:15" x14ac:dyDescent="0.2">
      <c r="A343" s="4">
        <v>745946</v>
      </c>
      <c r="B343" s="51" t="s">
        <v>1412</v>
      </c>
      <c r="C343" s="2" t="s">
        <v>66</v>
      </c>
      <c r="D343" s="7">
        <f>13+12+22+9+0</f>
        <v>56</v>
      </c>
      <c r="E343" s="7">
        <f>0+1+0+1+0</f>
        <v>2</v>
      </c>
      <c r="F343" s="17">
        <f>14+11+9+4+1</f>
        <v>39</v>
      </c>
      <c r="G343" s="17">
        <f>2+0+0+1+0</f>
        <v>3</v>
      </c>
      <c r="H343" s="17">
        <f>347+113+217+72+9</f>
        <v>758</v>
      </c>
      <c r="I343" s="16">
        <f>H343/(F343-G343)</f>
        <v>21.055555555555557</v>
      </c>
      <c r="J343" s="17">
        <v>103</v>
      </c>
      <c r="K343" s="25">
        <f>2.1+1+1</f>
        <v>4.0999999999999996</v>
      </c>
      <c r="L343" s="25">
        <f>0+0+0</f>
        <v>0</v>
      </c>
      <c r="M343" s="25">
        <f>6+4+9</f>
        <v>19</v>
      </c>
      <c r="N343" s="24" t="e">
        <f>M343/L343</f>
        <v>#DIV/0!</v>
      </c>
      <c r="O343" s="49" t="s">
        <v>1511</v>
      </c>
    </row>
    <row r="344" spans="1:15" x14ac:dyDescent="0.2">
      <c r="A344" s="4"/>
      <c r="B344" s="34" t="s">
        <v>645</v>
      </c>
      <c r="C344" s="2" t="s">
        <v>84</v>
      </c>
      <c r="D344" s="7">
        <v>2</v>
      </c>
      <c r="E344" s="7"/>
      <c r="F344" s="17">
        <v>0</v>
      </c>
      <c r="G344" s="17"/>
      <c r="H344" s="17"/>
      <c r="I344" s="16" t="e">
        <f>H344/(F344-G344)</f>
        <v>#DIV/0!</v>
      </c>
      <c r="J344" s="17"/>
      <c r="K344" s="25">
        <v>6</v>
      </c>
      <c r="L344" s="25">
        <v>0</v>
      </c>
      <c r="M344" s="25">
        <v>7</v>
      </c>
      <c r="N344" s="24" t="e">
        <f>M344/L344</f>
        <v>#DIV/0!</v>
      </c>
      <c r="O344" s="23"/>
    </row>
    <row r="345" spans="1:15" x14ac:dyDescent="0.2">
      <c r="A345" s="4"/>
      <c r="B345" s="35" t="s">
        <v>646</v>
      </c>
      <c r="C345" s="2" t="s">
        <v>19</v>
      </c>
      <c r="D345" s="7">
        <v>30</v>
      </c>
      <c r="E345" s="7"/>
      <c r="F345" s="17">
        <v>66</v>
      </c>
      <c r="G345" s="17">
        <v>12</v>
      </c>
      <c r="H345" s="17">
        <v>1322</v>
      </c>
      <c r="I345" s="16">
        <f>H345/(F345-G345)</f>
        <v>24.481481481481481</v>
      </c>
      <c r="J345" s="17">
        <v>92</v>
      </c>
      <c r="K345" s="25">
        <v>463.2</v>
      </c>
      <c r="L345" s="25">
        <v>77</v>
      </c>
      <c r="M345" s="25">
        <v>1486</v>
      </c>
      <c r="N345" s="24">
        <f>M345/L345</f>
        <v>19.2987012987013</v>
      </c>
      <c r="O345" s="23"/>
    </row>
    <row r="346" spans="1:15" x14ac:dyDescent="0.2">
      <c r="A346" s="4"/>
      <c r="B346" s="35" t="s">
        <v>647</v>
      </c>
      <c r="C346" s="2" t="s">
        <v>144</v>
      </c>
      <c r="D346" s="7">
        <v>31</v>
      </c>
      <c r="E346" s="7"/>
      <c r="F346" s="17">
        <v>85</v>
      </c>
      <c r="G346" s="17">
        <v>21</v>
      </c>
      <c r="H346" s="17">
        <v>1315</v>
      </c>
      <c r="I346" s="16">
        <f>H346/(F346-G346)</f>
        <v>20.546875</v>
      </c>
      <c r="J346" s="17" t="s">
        <v>408</v>
      </c>
      <c r="K346" s="25">
        <v>717.3</v>
      </c>
      <c r="L346" s="25">
        <v>115</v>
      </c>
      <c r="M346" s="25">
        <v>2288</v>
      </c>
      <c r="N346" s="24">
        <f>M346/L346</f>
        <v>19.895652173913042</v>
      </c>
      <c r="O346" s="23"/>
    </row>
    <row r="347" spans="1:15" x14ac:dyDescent="0.2">
      <c r="A347" s="84">
        <v>1542859</v>
      </c>
      <c r="B347" s="85" t="s">
        <v>1532</v>
      </c>
      <c r="C347" s="2" t="s">
        <v>170</v>
      </c>
      <c r="D347" s="7">
        <f>2</f>
        <v>2</v>
      </c>
      <c r="E347" s="7">
        <f>0</f>
        <v>0</v>
      </c>
      <c r="F347" s="17">
        <f>2</f>
        <v>2</v>
      </c>
      <c r="G347" s="17">
        <f>0</f>
        <v>0</v>
      </c>
      <c r="H347" s="17">
        <f>11</f>
        <v>11</v>
      </c>
      <c r="I347" s="16">
        <f>H347/(F347-G347)</f>
        <v>5.5</v>
      </c>
      <c r="J347" s="17">
        <v>9</v>
      </c>
      <c r="K347" s="25"/>
      <c r="L347" s="25"/>
      <c r="M347" s="25"/>
      <c r="N347" s="24" t="e">
        <f>M347/L347</f>
        <v>#DIV/0!</v>
      </c>
      <c r="O347" s="23"/>
    </row>
    <row r="348" spans="1:15" s="6" customFormat="1" x14ac:dyDescent="0.2">
      <c r="A348" s="4"/>
      <c r="B348" s="35" t="s">
        <v>648</v>
      </c>
      <c r="C348" s="2" t="s">
        <v>119</v>
      </c>
      <c r="D348" s="7">
        <v>32</v>
      </c>
      <c r="E348" s="7"/>
      <c r="F348" s="17">
        <v>85</v>
      </c>
      <c r="G348" s="17">
        <v>8</v>
      </c>
      <c r="H348" s="17">
        <v>1972</v>
      </c>
      <c r="I348" s="16">
        <f>H348/(F348-G348)</f>
        <v>25.61038961038961</v>
      </c>
      <c r="J348" s="17">
        <v>135</v>
      </c>
      <c r="K348" s="25">
        <v>553</v>
      </c>
      <c r="L348" s="25">
        <v>133</v>
      </c>
      <c r="M348" s="25">
        <v>1446</v>
      </c>
      <c r="N348" s="24">
        <f>M348/L348</f>
        <v>10.87218045112782</v>
      </c>
      <c r="O348" s="23"/>
    </row>
    <row r="349" spans="1:15" s="54" customFormat="1" x14ac:dyDescent="0.2">
      <c r="A349" s="4"/>
      <c r="B349" s="35" t="s">
        <v>649</v>
      </c>
      <c r="C349" s="2" t="s">
        <v>75</v>
      </c>
      <c r="D349" s="7">
        <f>6+2</f>
        <v>8</v>
      </c>
      <c r="E349" s="7"/>
      <c r="F349" s="17">
        <f>17+9</f>
        <v>26</v>
      </c>
      <c r="G349" s="17">
        <v>0</v>
      </c>
      <c r="H349" s="17">
        <f>241+27</f>
        <v>268</v>
      </c>
      <c r="I349" s="16">
        <f>H349/(F349-G349)</f>
        <v>10.307692307692308</v>
      </c>
      <c r="J349" s="17">
        <v>63</v>
      </c>
      <c r="K349" s="25">
        <f>25+16</f>
        <v>41</v>
      </c>
      <c r="L349" s="25">
        <f>31+5</f>
        <v>36</v>
      </c>
      <c r="M349" s="25">
        <f>383+84</f>
        <v>467</v>
      </c>
      <c r="N349" s="24">
        <f>M349/L349</f>
        <v>12.972222222222221</v>
      </c>
      <c r="O349" s="23"/>
    </row>
    <row r="350" spans="1:15" s="5" customFormat="1" x14ac:dyDescent="0.2">
      <c r="A350" s="4"/>
      <c r="B350" s="34" t="s">
        <v>233</v>
      </c>
      <c r="C350" s="2" t="s">
        <v>115</v>
      </c>
      <c r="D350" s="7">
        <f>0</f>
        <v>0</v>
      </c>
      <c r="E350" s="7"/>
      <c r="F350" s="17">
        <f>7</f>
        <v>7</v>
      </c>
      <c r="G350" s="17">
        <f>2</f>
        <v>2</v>
      </c>
      <c r="H350" s="17">
        <f>37</f>
        <v>37</v>
      </c>
      <c r="I350" s="16">
        <f>H350/(F350-G350)</f>
        <v>7.4</v>
      </c>
      <c r="J350" s="17" t="s">
        <v>364</v>
      </c>
      <c r="K350" s="25">
        <f>54</f>
        <v>54</v>
      </c>
      <c r="L350" s="25">
        <f>9</f>
        <v>9</v>
      </c>
      <c r="M350" s="25">
        <f>276</f>
        <v>276</v>
      </c>
      <c r="N350" s="24">
        <f>M350/L350</f>
        <v>30.666666666666668</v>
      </c>
      <c r="O350" s="23"/>
    </row>
    <row r="351" spans="1:15" x14ac:dyDescent="0.2">
      <c r="A351" s="84">
        <v>1223981</v>
      </c>
      <c r="B351" s="35" t="s">
        <v>1683</v>
      </c>
      <c r="C351" s="2" t="s">
        <v>1684</v>
      </c>
      <c r="D351" s="7">
        <f>0</f>
        <v>0</v>
      </c>
      <c r="E351" s="7">
        <f>0</f>
        <v>0</v>
      </c>
      <c r="F351" s="17">
        <f>9</f>
        <v>9</v>
      </c>
      <c r="G351" s="17">
        <f>1</f>
        <v>1</v>
      </c>
      <c r="H351" s="17">
        <v>9</v>
      </c>
      <c r="I351" s="16">
        <f>H351/(F351-G351)</f>
        <v>1.125</v>
      </c>
      <c r="J351" s="17">
        <v>3</v>
      </c>
      <c r="K351" s="25">
        <f>21.2</f>
        <v>21.2</v>
      </c>
      <c r="L351" s="25">
        <f>4</f>
        <v>4</v>
      </c>
      <c r="M351" s="25">
        <f>61</f>
        <v>61</v>
      </c>
      <c r="N351" s="24">
        <f>M351/L351</f>
        <v>15.25</v>
      </c>
      <c r="O351" s="49" t="s">
        <v>1791</v>
      </c>
    </row>
    <row r="352" spans="1:15" x14ac:dyDescent="0.2">
      <c r="A352" s="4">
        <v>2069806</v>
      </c>
      <c r="B352" s="35" t="s">
        <v>2325</v>
      </c>
      <c r="C352" s="2" t="s">
        <v>2326</v>
      </c>
      <c r="D352" s="7">
        <f>0+0</f>
        <v>0</v>
      </c>
      <c r="E352" s="7">
        <f>0+0</f>
        <v>0</v>
      </c>
      <c r="F352" s="17">
        <f>7+3</f>
        <v>10</v>
      </c>
      <c r="G352" s="17">
        <f>3+1</f>
        <v>4</v>
      </c>
      <c r="H352" s="17">
        <f>21+17</f>
        <v>38</v>
      </c>
      <c r="I352" s="16">
        <f>H352/(F352-G352)</f>
        <v>6.333333333333333</v>
      </c>
      <c r="J352" s="17" t="s">
        <v>401</v>
      </c>
      <c r="K352" s="25">
        <f>36.3+5</f>
        <v>41.3</v>
      </c>
      <c r="L352" s="25">
        <f>5+4</f>
        <v>9</v>
      </c>
      <c r="M352" s="25">
        <f>131+27</f>
        <v>158</v>
      </c>
      <c r="N352" s="24">
        <f>M352/L352</f>
        <v>17.555555555555557</v>
      </c>
      <c r="O352" s="49" t="s">
        <v>1617</v>
      </c>
    </row>
    <row r="353" spans="1:15" x14ac:dyDescent="0.2">
      <c r="A353" s="84">
        <v>1615361</v>
      </c>
      <c r="B353" s="35" t="s">
        <v>1685</v>
      </c>
      <c r="C353" s="2" t="s">
        <v>73</v>
      </c>
      <c r="D353" s="7">
        <f>5</f>
        <v>5</v>
      </c>
      <c r="E353" s="7">
        <f>0</f>
        <v>0</v>
      </c>
      <c r="F353" s="17">
        <f>7</f>
        <v>7</v>
      </c>
      <c r="G353" s="17">
        <f>1</f>
        <v>1</v>
      </c>
      <c r="H353" s="17">
        <f>47</f>
        <v>47</v>
      </c>
      <c r="I353" s="16">
        <f>H353/(F353-G353)</f>
        <v>7.833333333333333</v>
      </c>
      <c r="J353" s="17" t="s">
        <v>420</v>
      </c>
      <c r="K353" s="25">
        <f>91.5</f>
        <v>91.5</v>
      </c>
      <c r="L353" s="25">
        <f>37</f>
        <v>37</v>
      </c>
      <c r="M353" s="25">
        <f>272</f>
        <v>272</v>
      </c>
      <c r="N353" s="24">
        <f>M353/L353</f>
        <v>7.3513513513513518</v>
      </c>
      <c r="O353" s="49" t="s">
        <v>1792</v>
      </c>
    </row>
    <row r="354" spans="1:15" s="54" customFormat="1" x14ac:dyDescent="0.2">
      <c r="A354" s="4"/>
      <c r="B354" s="35" t="s">
        <v>650</v>
      </c>
      <c r="C354" s="2" t="s">
        <v>79</v>
      </c>
      <c r="D354" s="7">
        <f>5+1+3+2</f>
        <v>11</v>
      </c>
      <c r="E354" s="7"/>
      <c r="F354" s="17">
        <f>10+6+2+7+2+6</f>
        <v>33</v>
      </c>
      <c r="G354" s="17">
        <f>4+3+1+2+1+1</f>
        <v>12</v>
      </c>
      <c r="H354" s="17">
        <f>42+13+13+35+24+14</f>
        <v>141</v>
      </c>
      <c r="I354" s="16">
        <f>H354/(F354-G354)</f>
        <v>6.7142857142857144</v>
      </c>
      <c r="J354" s="17">
        <v>17</v>
      </c>
      <c r="K354" s="25">
        <f>5+21+5+27</f>
        <v>58</v>
      </c>
      <c r="L354" s="25">
        <f>9+1+6</f>
        <v>16</v>
      </c>
      <c r="M354" s="25">
        <f>38+76+16+94</f>
        <v>224</v>
      </c>
      <c r="N354" s="24">
        <f>M354/L354</f>
        <v>14</v>
      </c>
      <c r="O354" s="23"/>
    </row>
    <row r="355" spans="1:15" s="54" customFormat="1" x14ac:dyDescent="0.2">
      <c r="A355" s="4">
        <v>1046911</v>
      </c>
      <c r="B355" s="35" t="s">
        <v>2087</v>
      </c>
      <c r="C355" s="2" t="s">
        <v>1820</v>
      </c>
      <c r="D355" s="7">
        <f>0+3+0</f>
        <v>3</v>
      </c>
      <c r="E355" s="7">
        <f>0+0</f>
        <v>0</v>
      </c>
      <c r="F355" s="17">
        <f>8+12+5</f>
        <v>25</v>
      </c>
      <c r="G355" s="17">
        <f>0+2+0</f>
        <v>2</v>
      </c>
      <c r="H355" s="17">
        <f>43+122+42</f>
        <v>207</v>
      </c>
      <c r="I355" s="16">
        <f>H355/(F355-G355)</f>
        <v>9</v>
      </c>
      <c r="J355" s="17" t="s">
        <v>428</v>
      </c>
      <c r="K355" s="25">
        <f>6+6.3+2</f>
        <v>14.3</v>
      </c>
      <c r="L355" s="25">
        <f>1+1+0</f>
        <v>2</v>
      </c>
      <c r="M355" s="25">
        <f>11+25+4</f>
        <v>40</v>
      </c>
      <c r="N355" s="24">
        <f>M355/L355</f>
        <v>20</v>
      </c>
      <c r="O355" s="49" t="s">
        <v>1351</v>
      </c>
    </row>
    <row r="356" spans="1:15" x14ac:dyDescent="0.2">
      <c r="A356" s="57">
        <v>989742</v>
      </c>
      <c r="B356" s="65" t="s">
        <v>1344</v>
      </c>
      <c r="C356" s="58" t="s">
        <v>1454</v>
      </c>
      <c r="D356" s="59">
        <f>6+5+7+7+6+11+9+5+2+1</f>
        <v>59</v>
      </c>
      <c r="E356" s="59">
        <f>0+0+0+0+0+0</f>
        <v>0</v>
      </c>
      <c r="F356" s="60">
        <f>13+12+13+12+13+12+14+12+9+2</f>
        <v>112</v>
      </c>
      <c r="G356" s="60">
        <f>2+0+1+1+0+0+0+1+1</f>
        <v>6</v>
      </c>
      <c r="H356" s="60">
        <f>442+263+234+601+432+203+545+310+193+21</f>
        <v>3244</v>
      </c>
      <c r="I356" s="61">
        <f>H356/(F356-G356)</f>
        <v>30.60377358490566</v>
      </c>
      <c r="J356" s="60">
        <v>195</v>
      </c>
      <c r="K356" s="62">
        <f>86.3+66+103.5+(0.4)+92+58+72+89+49+36</f>
        <v>652.20000000000005</v>
      </c>
      <c r="L356" s="62">
        <f>24+11+23+11+13+15+25+6+5</f>
        <v>133</v>
      </c>
      <c r="M356" s="62">
        <f>519+196+339+257+170+210+239+128+146</f>
        <v>2204</v>
      </c>
      <c r="N356" s="63">
        <f>M356/L356</f>
        <v>16.571428571428573</v>
      </c>
      <c r="O356" s="66" t="s">
        <v>1802</v>
      </c>
    </row>
    <row r="357" spans="1:15" s="54" customFormat="1" x14ac:dyDescent="0.2">
      <c r="A357" s="84">
        <v>1594682</v>
      </c>
      <c r="B357" s="85" t="s">
        <v>1533</v>
      </c>
      <c r="C357" s="2" t="s">
        <v>1534</v>
      </c>
      <c r="D357" s="7">
        <f>0+1</f>
        <v>1</v>
      </c>
      <c r="E357" s="7">
        <f>0+0</f>
        <v>0</v>
      </c>
      <c r="F357" s="17">
        <f>1+8</f>
        <v>9</v>
      </c>
      <c r="G357" s="17">
        <f>0+0</f>
        <v>0</v>
      </c>
      <c r="H357" s="17">
        <f>27+59</f>
        <v>86</v>
      </c>
      <c r="I357" s="16">
        <f>H357/(F357-G357)</f>
        <v>9.5555555555555554</v>
      </c>
      <c r="J357" s="17">
        <v>27</v>
      </c>
      <c r="K357" s="25">
        <f>3+18</f>
        <v>21</v>
      </c>
      <c r="L357" s="25">
        <f>0+1</f>
        <v>1</v>
      </c>
      <c r="M357" s="25">
        <f>4+66</f>
        <v>70</v>
      </c>
      <c r="N357" s="24">
        <f>M357/L357</f>
        <v>70</v>
      </c>
      <c r="O357" s="49" t="s">
        <v>1475</v>
      </c>
    </row>
    <row r="358" spans="1:15" x14ac:dyDescent="0.2">
      <c r="A358" s="84">
        <v>1077745</v>
      </c>
      <c r="B358" s="85" t="s">
        <v>1535</v>
      </c>
      <c r="C358" s="2" t="s">
        <v>1536</v>
      </c>
      <c r="D358" s="7">
        <f>6+1+1</f>
        <v>8</v>
      </c>
      <c r="E358" s="7">
        <f>0+0+0</f>
        <v>0</v>
      </c>
      <c r="F358" s="17">
        <f>12+5+1</f>
        <v>18</v>
      </c>
      <c r="G358" s="17">
        <f>1+1+0</f>
        <v>2</v>
      </c>
      <c r="H358" s="17">
        <f>203+54+0</f>
        <v>257</v>
      </c>
      <c r="I358" s="16">
        <f>H358/(F358-G358)</f>
        <v>16.0625</v>
      </c>
      <c r="J358" s="17" t="s">
        <v>1453</v>
      </c>
      <c r="K358" s="25">
        <f>102.1+38.2+1.1</f>
        <v>141.4</v>
      </c>
      <c r="L358" s="25">
        <f>13+6+0</f>
        <v>19</v>
      </c>
      <c r="M358" s="25">
        <f>290+139+7</f>
        <v>436</v>
      </c>
      <c r="N358" s="24">
        <f>M358/L358</f>
        <v>22.94736842105263</v>
      </c>
      <c r="O358" s="49" t="s">
        <v>1629</v>
      </c>
    </row>
    <row r="359" spans="1:15" x14ac:dyDescent="0.2">
      <c r="A359" s="4"/>
      <c r="B359" s="35" t="s">
        <v>651</v>
      </c>
      <c r="C359" s="2" t="s">
        <v>16</v>
      </c>
      <c r="D359" s="7">
        <v>0</v>
      </c>
      <c r="E359" s="7"/>
      <c r="F359" s="17">
        <v>21</v>
      </c>
      <c r="G359" s="17">
        <v>6</v>
      </c>
      <c r="H359" s="17">
        <v>111</v>
      </c>
      <c r="I359" s="16">
        <f>H359/(F359-G359)</f>
        <v>7.4</v>
      </c>
      <c r="J359" s="17">
        <v>14</v>
      </c>
      <c r="K359" s="25">
        <v>1</v>
      </c>
      <c r="L359" s="25">
        <v>0</v>
      </c>
      <c r="M359" s="25">
        <v>2</v>
      </c>
      <c r="N359" s="24" t="e">
        <f>M359/L359</f>
        <v>#DIV/0!</v>
      </c>
      <c r="O359" s="23"/>
    </row>
    <row r="360" spans="1:15" s="5" customFormat="1" x14ac:dyDescent="0.2">
      <c r="A360" s="84">
        <v>773802</v>
      </c>
      <c r="B360" s="35" t="s">
        <v>1686</v>
      </c>
      <c r="C360" s="2" t="s">
        <v>1493</v>
      </c>
      <c r="D360" s="7">
        <f>6</f>
        <v>6</v>
      </c>
      <c r="E360" s="7">
        <f>0</f>
        <v>0</v>
      </c>
      <c r="F360" s="17">
        <f>11</f>
        <v>11</v>
      </c>
      <c r="G360" s="17">
        <f>1</f>
        <v>1</v>
      </c>
      <c r="H360" s="17">
        <f>306</f>
        <v>306</v>
      </c>
      <c r="I360" s="16">
        <f>H360/(F360-G360)</f>
        <v>30.6</v>
      </c>
      <c r="J360" s="17">
        <v>69</v>
      </c>
      <c r="K360" s="25">
        <f>17</f>
        <v>17</v>
      </c>
      <c r="L360" s="25">
        <f>4</f>
        <v>4</v>
      </c>
      <c r="M360" s="25">
        <f>86</f>
        <v>86</v>
      </c>
      <c r="N360" s="24">
        <f>M360/L360</f>
        <v>21.5</v>
      </c>
      <c r="O360" s="49" t="s">
        <v>1619</v>
      </c>
    </row>
    <row r="361" spans="1:15" s="5" customFormat="1" x14ac:dyDescent="0.2">
      <c r="A361" s="4"/>
      <c r="B361" s="35" t="s">
        <v>652</v>
      </c>
      <c r="C361" s="2" t="s">
        <v>156</v>
      </c>
      <c r="D361" s="7">
        <v>45</v>
      </c>
      <c r="E361" s="7"/>
      <c r="F361" s="17">
        <v>111</v>
      </c>
      <c r="G361" s="17">
        <v>19</v>
      </c>
      <c r="H361" s="17">
        <v>1673</v>
      </c>
      <c r="I361" s="16">
        <f>H361/(F361-G361)</f>
        <v>18.184782608695652</v>
      </c>
      <c r="J361" s="17" t="s">
        <v>328</v>
      </c>
      <c r="K361" s="25">
        <v>712</v>
      </c>
      <c r="L361" s="25">
        <v>145</v>
      </c>
      <c r="M361" s="25">
        <v>2402</v>
      </c>
      <c r="N361" s="24">
        <f>M361/L361</f>
        <v>16.565517241379311</v>
      </c>
      <c r="O361" s="23"/>
    </row>
    <row r="362" spans="1:15" x14ac:dyDescent="0.2">
      <c r="A362" s="84">
        <v>1615402</v>
      </c>
      <c r="B362" s="35" t="s">
        <v>1687</v>
      </c>
      <c r="C362" s="2" t="s">
        <v>1688</v>
      </c>
      <c r="D362" s="7">
        <f>3</f>
        <v>3</v>
      </c>
      <c r="E362" s="7">
        <f>0</f>
        <v>0</v>
      </c>
      <c r="F362" s="17">
        <f>4</f>
        <v>4</v>
      </c>
      <c r="G362" s="17">
        <f>2</f>
        <v>2</v>
      </c>
      <c r="H362" s="17">
        <f>16</f>
        <v>16</v>
      </c>
      <c r="I362" s="16">
        <f>H362/(F362-G362)</f>
        <v>8</v>
      </c>
      <c r="J362" s="17" t="s">
        <v>268</v>
      </c>
      <c r="K362" s="25">
        <f>2</f>
        <v>2</v>
      </c>
      <c r="L362" s="25">
        <f>1</f>
        <v>1</v>
      </c>
      <c r="M362" s="25">
        <f>3</f>
        <v>3</v>
      </c>
      <c r="N362" s="24">
        <f>M362/L362</f>
        <v>3</v>
      </c>
      <c r="O362" s="49" t="s">
        <v>1379</v>
      </c>
    </row>
    <row r="363" spans="1:15" s="5" customFormat="1" x14ac:dyDescent="0.2">
      <c r="A363" s="4"/>
      <c r="B363" s="35" t="s">
        <v>653</v>
      </c>
      <c r="C363" s="2" t="s">
        <v>115</v>
      </c>
      <c r="D363" s="7">
        <f>41+6+2+4+5+5+3+0</f>
        <v>66</v>
      </c>
      <c r="E363" s="7"/>
      <c r="F363" s="17">
        <f>107+12+12+17+13+15+10+8+4</f>
        <v>198</v>
      </c>
      <c r="G363" s="17">
        <f>7+2+1+1+1+1+1</f>
        <v>14</v>
      </c>
      <c r="H363" s="17">
        <f>1505+273+401+458+343+431+185+73+33</f>
        <v>3702</v>
      </c>
      <c r="I363" s="16">
        <f>H363/(F363-G363)</f>
        <v>20.119565217391305</v>
      </c>
      <c r="J363" s="17">
        <v>135</v>
      </c>
      <c r="K363" s="25">
        <f>491+121+63+55+43+74+7+1+0</f>
        <v>855</v>
      </c>
      <c r="L363" s="25">
        <f>102+34+14+15+13+11+1+0</f>
        <v>190</v>
      </c>
      <c r="M363" s="25">
        <f>1374+410+179+236+122+332+50+24+0</f>
        <v>2727</v>
      </c>
      <c r="N363" s="24">
        <f>M363/L363</f>
        <v>14.352631578947369</v>
      </c>
      <c r="O363" s="23"/>
    </row>
    <row r="364" spans="1:15" x14ac:dyDescent="0.2">
      <c r="A364" s="4"/>
      <c r="B364" s="35" t="s">
        <v>654</v>
      </c>
      <c r="C364" s="2" t="s">
        <v>88</v>
      </c>
      <c r="D364" s="7">
        <f>61+4+5+5+1</f>
        <v>76</v>
      </c>
      <c r="E364" s="7"/>
      <c r="F364" s="17">
        <f>150+14+2+17+13+12+7+1</f>
        <v>216</v>
      </c>
      <c r="G364" s="17">
        <f>3+1+2+2+2+1+1</f>
        <v>12</v>
      </c>
      <c r="H364" s="17">
        <f>2279+154+3+283+155+185+92+1</f>
        <v>3152</v>
      </c>
      <c r="I364" s="16">
        <f>H364/(F364-G364)</f>
        <v>15.450980392156863</v>
      </c>
      <c r="J364" s="17">
        <v>111</v>
      </c>
      <c r="K364" s="25">
        <f>471+67+96+56+45+27</f>
        <v>762</v>
      </c>
      <c r="L364" s="25">
        <f>100+18+18+10+10+4</f>
        <v>160</v>
      </c>
      <c r="M364" s="25">
        <f>1752+229+352+246+228+133</f>
        <v>2940</v>
      </c>
      <c r="N364" s="24">
        <f>M364/L364</f>
        <v>18.375</v>
      </c>
      <c r="O364" s="23"/>
    </row>
    <row r="365" spans="1:15" s="5" customFormat="1" x14ac:dyDescent="0.2">
      <c r="A365" s="4"/>
      <c r="B365" s="35" t="s">
        <v>655</v>
      </c>
      <c r="C365" s="2" t="s">
        <v>97</v>
      </c>
      <c r="D365" s="7">
        <f>3</f>
        <v>3</v>
      </c>
      <c r="E365" s="7"/>
      <c r="F365" s="17">
        <f>10</f>
        <v>10</v>
      </c>
      <c r="G365" s="17">
        <f>1</f>
        <v>1</v>
      </c>
      <c r="H365" s="17">
        <f>56</f>
        <v>56</v>
      </c>
      <c r="I365" s="16">
        <f>H365/(F365-G365)</f>
        <v>6.2222222222222223</v>
      </c>
      <c r="J365" s="17">
        <v>19</v>
      </c>
      <c r="K365" s="25">
        <f>15</f>
        <v>15</v>
      </c>
      <c r="L365" s="25">
        <f>2</f>
        <v>2</v>
      </c>
      <c r="M365" s="25">
        <f>56</f>
        <v>56</v>
      </c>
      <c r="N365" s="24">
        <f>M365/L365</f>
        <v>28</v>
      </c>
      <c r="O365" s="23"/>
    </row>
    <row r="366" spans="1:15" s="5" customFormat="1" x14ac:dyDescent="0.2">
      <c r="A366" s="4"/>
      <c r="B366" s="34" t="s">
        <v>656</v>
      </c>
      <c r="C366" s="2" t="s">
        <v>303</v>
      </c>
      <c r="D366" s="7">
        <f>1</f>
        <v>1</v>
      </c>
      <c r="E366" s="7"/>
      <c r="F366" s="17">
        <f>1</f>
        <v>1</v>
      </c>
      <c r="G366" s="17">
        <f>0</f>
        <v>0</v>
      </c>
      <c r="H366" s="17">
        <f>0</f>
        <v>0</v>
      </c>
      <c r="I366" s="16">
        <f>H366/(F366-G366)</f>
        <v>0</v>
      </c>
      <c r="J366" s="17">
        <f>0</f>
        <v>0</v>
      </c>
      <c r="K366" s="25"/>
      <c r="L366" s="25"/>
      <c r="M366" s="25"/>
      <c r="N366" s="24" t="e">
        <f>M366/L366</f>
        <v>#DIV/0!</v>
      </c>
      <c r="O366" s="23"/>
    </row>
    <row r="367" spans="1:15" x14ac:dyDescent="0.2">
      <c r="A367" s="57">
        <v>667265</v>
      </c>
      <c r="B367" s="79" t="s">
        <v>1398</v>
      </c>
      <c r="C367" s="58" t="s">
        <v>1430</v>
      </c>
      <c r="D367" s="59">
        <f>5+4+6+7+2+2+6+3+1+6+11+18</f>
        <v>71</v>
      </c>
      <c r="E367" s="59">
        <f>1+1+2+1+2+3</f>
        <v>10</v>
      </c>
      <c r="F367" s="60">
        <f>13+14+15+11+11+9+11+9+13</f>
        <v>106</v>
      </c>
      <c r="G367" s="60">
        <f>1+0+1+2+0+0+1+1</f>
        <v>6</v>
      </c>
      <c r="H367" s="60">
        <f>453+257+314+268+365+220+121+171+367</f>
        <v>2536</v>
      </c>
      <c r="I367" s="61">
        <f>H367/(F367-G367)</f>
        <v>25.36</v>
      </c>
      <c r="J367" s="60">
        <v>118</v>
      </c>
      <c r="K367" s="62">
        <f>14+7+5+2+2+5</f>
        <v>35</v>
      </c>
      <c r="L367" s="62">
        <f>2+1+0+0+0+1</f>
        <v>4</v>
      </c>
      <c r="M367" s="62">
        <f>83+49+43+14+12+23</f>
        <v>224</v>
      </c>
      <c r="N367" s="63">
        <f>M367/L367</f>
        <v>56</v>
      </c>
      <c r="O367" s="66" t="s">
        <v>1473</v>
      </c>
    </row>
    <row r="368" spans="1:15" x14ac:dyDescent="0.2">
      <c r="A368" s="84">
        <v>1565102</v>
      </c>
      <c r="B368" s="85" t="s">
        <v>1537</v>
      </c>
      <c r="C368" s="2" t="s">
        <v>1538</v>
      </c>
      <c r="D368" s="7">
        <f>0</f>
        <v>0</v>
      </c>
      <c r="E368" s="7">
        <f>0</f>
        <v>0</v>
      </c>
      <c r="F368" s="17"/>
      <c r="G368" s="17"/>
      <c r="H368" s="17"/>
      <c r="I368" s="16" t="e">
        <f>H368/(F368-G368)</f>
        <v>#DIV/0!</v>
      </c>
      <c r="J368" s="17"/>
      <c r="K368" s="25">
        <f>1</f>
        <v>1</v>
      </c>
      <c r="L368" s="25">
        <f>0</f>
        <v>0</v>
      </c>
      <c r="M368" s="25">
        <f>5</f>
        <v>5</v>
      </c>
      <c r="N368" s="24" t="e">
        <f>M368/L368</f>
        <v>#DIV/0!</v>
      </c>
      <c r="O368" s="49" t="s">
        <v>1508</v>
      </c>
    </row>
    <row r="369" spans="1:15" x14ac:dyDescent="0.2">
      <c r="A369" s="4"/>
      <c r="B369" s="35" t="s">
        <v>657</v>
      </c>
      <c r="C369" s="2" t="s">
        <v>16</v>
      </c>
      <c r="D369" s="7">
        <v>6</v>
      </c>
      <c r="E369" s="7"/>
      <c r="F369" s="17">
        <v>28</v>
      </c>
      <c r="G369" s="17">
        <v>4</v>
      </c>
      <c r="H369" s="17">
        <v>764</v>
      </c>
      <c r="I369" s="16">
        <f>H369/(F369-G369)</f>
        <v>31.833333333333332</v>
      </c>
      <c r="J369" s="17">
        <v>142</v>
      </c>
      <c r="K369" s="25">
        <v>140</v>
      </c>
      <c r="L369" s="25">
        <v>40</v>
      </c>
      <c r="M369" s="25">
        <v>434</v>
      </c>
      <c r="N369" s="24">
        <f>M369/L369</f>
        <v>10.85</v>
      </c>
      <c r="O369" s="23"/>
    </row>
    <row r="370" spans="1:15" x14ac:dyDescent="0.2">
      <c r="A370" s="4"/>
      <c r="B370" s="35" t="s">
        <v>658</v>
      </c>
      <c r="C370" s="2" t="s">
        <v>21</v>
      </c>
      <c r="D370" s="7">
        <v>10</v>
      </c>
      <c r="E370" s="7"/>
      <c r="F370" s="17">
        <v>32</v>
      </c>
      <c r="G370" s="17">
        <v>4</v>
      </c>
      <c r="H370" s="17">
        <v>889</v>
      </c>
      <c r="I370" s="16">
        <f>H370/(F370-G370)</f>
        <v>31.75</v>
      </c>
      <c r="J370" s="17">
        <v>145</v>
      </c>
      <c r="K370" s="25">
        <v>123</v>
      </c>
      <c r="L370" s="25">
        <v>28</v>
      </c>
      <c r="M370" s="25">
        <v>363</v>
      </c>
      <c r="N370" s="24">
        <f>M370/L370</f>
        <v>12.964285714285714</v>
      </c>
      <c r="O370" s="23"/>
    </row>
    <row r="371" spans="1:15" x14ac:dyDescent="0.2">
      <c r="A371" s="4"/>
      <c r="B371" s="35" t="s">
        <v>659</v>
      </c>
      <c r="C371" s="2" t="s">
        <v>17</v>
      </c>
      <c r="D371" s="7">
        <v>7</v>
      </c>
      <c r="E371" s="7"/>
      <c r="F371" s="17">
        <v>17</v>
      </c>
      <c r="G371" s="17">
        <v>1</v>
      </c>
      <c r="H371" s="17">
        <v>236</v>
      </c>
      <c r="I371" s="16">
        <f>H371/(F371-G371)</f>
        <v>14.75</v>
      </c>
      <c r="J371" s="17">
        <v>58</v>
      </c>
      <c r="K371" s="25">
        <v>13</v>
      </c>
      <c r="L371" s="25">
        <v>5</v>
      </c>
      <c r="M371" s="25">
        <v>58</v>
      </c>
      <c r="N371" s="24">
        <f>M371/L371</f>
        <v>11.6</v>
      </c>
      <c r="O371" s="23"/>
    </row>
    <row r="372" spans="1:15" x14ac:dyDescent="0.2">
      <c r="A372" s="4"/>
      <c r="B372" s="34" t="s">
        <v>660</v>
      </c>
      <c r="C372" s="2" t="s">
        <v>217</v>
      </c>
      <c r="D372" s="7">
        <f>0+1</f>
        <v>1</v>
      </c>
      <c r="E372" s="7"/>
      <c r="F372" s="17">
        <f>3+10</f>
        <v>13</v>
      </c>
      <c r="G372" s="17">
        <f>2+2</f>
        <v>4</v>
      </c>
      <c r="H372" s="17">
        <f>3+7</f>
        <v>10</v>
      </c>
      <c r="I372" s="16">
        <f>H372/(F372-G372)</f>
        <v>1.1111111111111112</v>
      </c>
      <c r="J372" s="17" t="s">
        <v>323</v>
      </c>
      <c r="K372" s="25">
        <f>4+2</f>
        <v>6</v>
      </c>
      <c r="L372" s="25">
        <f>1+0</f>
        <v>1</v>
      </c>
      <c r="M372" s="25">
        <f>16+5</f>
        <v>21</v>
      </c>
      <c r="N372" s="24">
        <f>M372/L372</f>
        <v>21</v>
      </c>
      <c r="O372" s="23"/>
    </row>
    <row r="373" spans="1:15" x14ac:dyDescent="0.2">
      <c r="A373" s="4">
        <v>1057341</v>
      </c>
      <c r="B373" s="34" t="s">
        <v>1324</v>
      </c>
      <c r="C373" s="2"/>
      <c r="D373" s="7">
        <f>0</f>
        <v>0</v>
      </c>
      <c r="E373" s="7">
        <f>0</f>
        <v>0</v>
      </c>
      <c r="F373" s="45">
        <f>3</f>
        <v>3</v>
      </c>
      <c r="G373" s="45">
        <f>2</f>
        <v>2</v>
      </c>
      <c r="H373" s="17">
        <f>3</f>
        <v>3</v>
      </c>
      <c r="I373" s="16">
        <f>H373/(F373-G373)</f>
        <v>3</v>
      </c>
      <c r="J373" s="17" t="s">
        <v>1346</v>
      </c>
      <c r="K373" s="44"/>
      <c r="L373" s="44"/>
      <c r="M373" s="25"/>
      <c r="N373" s="24" t="e">
        <f>M373/L373</f>
        <v>#DIV/0!</v>
      </c>
      <c r="O373" s="23"/>
    </row>
    <row r="374" spans="1:15" x14ac:dyDescent="0.2">
      <c r="A374" s="4"/>
      <c r="B374" s="35" t="s">
        <v>661</v>
      </c>
      <c r="C374" s="2" t="s">
        <v>54</v>
      </c>
      <c r="D374" s="8">
        <v>0</v>
      </c>
      <c r="E374" s="7"/>
      <c r="F374" s="17">
        <v>4</v>
      </c>
      <c r="G374" s="17">
        <v>0</v>
      </c>
      <c r="H374" s="17">
        <v>1</v>
      </c>
      <c r="I374" s="16">
        <f>H374/(F374-G374)</f>
        <v>0.25</v>
      </c>
      <c r="J374" s="17">
        <v>1</v>
      </c>
      <c r="K374" s="25">
        <v>1</v>
      </c>
      <c r="L374" s="25">
        <v>0</v>
      </c>
      <c r="M374" s="25">
        <v>11</v>
      </c>
      <c r="N374" s="24" t="e">
        <f>M374/L374</f>
        <v>#DIV/0!</v>
      </c>
      <c r="O374" s="23"/>
    </row>
    <row r="375" spans="1:15" x14ac:dyDescent="0.2">
      <c r="A375" s="57"/>
      <c r="B375" s="65" t="s">
        <v>2668</v>
      </c>
      <c r="C375" s="58" t="s">
        <v>2669</v>
      </c>
      <c r="D375" s="59">
        <v>0</v>
      </c>
      <c r="E375" s="59"/>
      <c r="F375" s="60">
        <v>1</v>
      </c>
      <c r="G375" s="60">
        <v>0</v>
      </c>
      <c r="H375" s="60">
        <v>0</v>
      </c>
      <c r="I375" s="61">
        <f>H375/(F375-G375)</f>
        <v>0</v>
      </c>
      <c r="J375" s="60">
        <v>0</v>
      </c>
      <c r="K375" s="62"/>
      <c r="L375" s="62"/>
      <c r="M375" s="62"/>
      <c r="N375" s="63" t="e">
        <f>M375/L375</f>
        <v>#DIV/0!</v>
      </c>
      <c r="O375" s="66"/>
    </row>
    <row r="376" spans="1:15" x14ac:dyDescent="0.2">
      <c r="A376" s="4"/>
      <c r="B376" s="35" t="s">
        <v>662</v>
      </c>
      <c r="C376" s="2" t="s">
        <v>49</v>
      </c>
      <c r="D376" s="7">
        <v>3</v>
      </c>
      <c r="E376" s="7"/>
      <c r="F376" s="17">
        <v>15</v>
      </c>
      <c r="G376" s="17">
        <v>3</v>
      </c>
      <c r="H376" s="17">
        <v>80</v>
      </c>
      <c r="I376" s="16">
        <f>H376/(F376-G376)</f>
        <v>6.666666666666667</v>
      </c>
      <c r="J376" s="17">
        <v>21</v>
      </c>
      <c r="K376" s="25">
        <v>51</v>
      </c>
      <c r="L376" s="25">
        <v>10</v>
      </c>
      <c r="M376" s="25">
        <v>101</v>
      </c>
      <c r="N376" s="24">
        <f>M376/L376</f>
        <v>10.1</v>
      </c>
      <c r="O376" s="23"/>
    </row>
    <row r="377" spans="1:15" s="54" customFormat="1" x14ac:dyDescent="0.2">
      <c r="A377" s="4"/>
      <c r="B377" s="34" t="s">
        <v>663</v>
      </c>
      <c r="C377" s="2" t="s">
        <v>215</v>
      </c>
      <c r="D377" s="7">
        <f>0+0</f>
        <v>0</v>
      </c>
      <c r="E377" s="7"/>
      <c r="F377" s="17">
        <f>9+5</f>
        <v>14</v>
      </c>
      <c r="G377" s="17">
        <f>1+2</f>
        <v>3</v>
      </c>
      <c r="H377" s="17">
        <f>3+1</f>
        <v>4</v>
      </c>
      <c r="I377" s="16">
        <f>H377/(F377-G377)</f>
        <v>0.36363636363636365</v>
      </c>
      <c r="J377" s="17">
        <v>2</v>
      </c>
      <c r="K377" s="25">
        <f>9+0</f>
        <v>9</v>
      </c>
      <c r="L377" s="25">
        <f>0+0</f>
        <v>0</v>
      </c>
      <c r="M377" s="25">
        <f>64+0</f>
        <v>64</v>
      </c>
      <c r="N377" s="24" t="e">
        <f>M377/L377</f>
        <v>#DIV/0!</v>
      </c>
      <c r="O377" s="23"/>
    </row>
    <row r="378" spans="1:15" s="6" customFormat="1" x14ac:dyDescent="0.2">
      <c r="A378" s="4"/>
      <c r="B378" s="35" t="s">
        <v>668</v>
      </c>
      <c r="C378" s="2" t="s">
        <v>41</v>
      </c>
      <c r="D378" s="8">
        <v>4</v>
      </c>
      <c r="E378" s="7"/>
      <c r="F378" s="17">
        <f>7+1</f>
        <v>8</v>
      </c>
      <c r="G378" s="17">
        <f>4+1</f>
        <v>5</v>
      </c>
      <c r="H378" s="17">
        <f>41+12</f>
        <v>53</v>
      </c>
      <c r="I378" s="16">
        <f>H378/(F378-G378)</f>
        <v>17.666666666666668</v>
      </c>
      <c r="J378" s="17">
        <v>12</v>
      </c>
      <c r="K378" s="25">
        <f>15+2</f>
        <v>17</v>
      </c>
      <c r="L378" s="25">
        <f>4+1</f>
        <v>5</v>
      </c>
      <c r="M378" s="25">
        <f>54+6</f>
        <v>60</v>
      </c>
      <c r="N378" s="24">
        <f>M378/L378</f>
        <v>12</v>
      </c>
      <c r="O378" s="23"/>
    </row>
    <row r="379" spans="1:15" s="5" customFormat="1" x14ac:dyDescent="0.2">
      <c r="A379" s="4"/>
      <c r="B379" s="35" t="s">
        <v>664</v>
      </c>
      <c r="C379" s="2" t="s">
        <v>115</v>
      </c>
      <c r="D379" s="7">
        <f>14+2</f>
        <v>16</v>
      </c>
      <c r="E379" s="7"/>
      <c r="F379" s="17">
        <f>35+5</f>
        <v>40</v>
      </c>
      <c r="G379" s="17">
        <v>6</v>
      </c>
      <c r="H379" s="17">
        <f>620+19</f>
        <v>639</v>
      </c>
      <c r="I379" s="16">
        <f>H379/(F379-G379)</f>
        <v>18.794117647058822</v>
      </c>
      <c r="J379" s="17">
        <v>62</v>
      </c>
      <c r="K379" s="25">
        <f>181+27</f>
        <v>208</v>
      </c>
      <c r="L379" s="25">
        <f>32+7</f>
        <v>39</v>
      </c>
      <c r="M379" s="25">
        <f>688+126</f>
        <v>814</v>
      </c>
      <c r="N379" s="24">
        <f>M379/L379</f>
        <v>20.871794871794872</v>
      </c>
      <c r="O379" s="23"/>
    </row>
    <row r="380" spans="1:15" x14ac:dyDescent="0.2">
      <c r="A380" s="4">
        <v>681712</v>
      </c>
      <c r="B380" s="34" t="s">
        <v>667</v>
      </c>
      <c r="C380" s="2" t="s">
        <v>85</v>
      </c>
      <c r="D380" s="7">
        <f>1+5+7+3+2</f>
        <v>18</v>
      </c>
      <c r="E380" s="7">
        <f>0</f>
        <v>0</v>
      </c>
      <c r="F380" s="17">
        <f>12+15+15+12+6</f>
        <v>60</v>
      </c>
      <c r="G380" s="17">
        <f>2+5+5+1+0</f>
        <v>13</v>
      </c>
      <c r="H380" s="17">
        <f>112+283+381+208+52</f>
        <v>1036</v>
      </c>
      <c r="I380" s="16">
        <f>H380/(F380-G380)</f>
        <v>22.042553191489361</v>
      </c>
      <c r="J380" s="17" t="s">
        <v>292</v>
      </c>
      <c r="K380" s="25">
        <f>39+72+111+73+6</f>
        <v>301</v>
      </c>
      <c r="L380" s="25">
        <f>7+19+18+18+2</f>
        <v>64</v>
      </c>
      <c r="M380" s="25">
        <f>106+174+260+167+36</f>
        <v>743</v>
      </c>
      <c r="N380" s="24">
        <f>M380/L380</f>
        <v>11.609375</v>
      </c>
      <c r="O380" s="49" t="s">
        <v>1362</v>
      </c>
    </row>
    <row r="381" spans="1:15" x14ac:dyDescent="0.2">
      <c r="A381" s="4"/>
      <c r="B381" s="35" t="s">
        <v>665</v>
      </c>
      <c r="C381" s="2" t="s">
        <v>9</v>
      </c>
      <c r="D381" s="7">
        <v>4</v>
      </c>
      <c r="E381" s="7"/>
      <c r="F381" s="17">
        <v>15</v>
      </c>
      <c r="G381" s="17">
        <v>4</v>
      </c>
      <c r="H381" s="17">
        <v>58</v>
      </c>
      <c r="I381" s="16">
        <f>H381/(F381-G381)</f>
        <v>5.2727272727272725</v>
      </c>
      <c r="J381" s="17">
        <v>26</v>
      </c>
      <c r="K381" s="25">
        <v>72</v>
      </c>
      <c r="L381" s="25">
        <v>8</v>
      </c>
      <c r="M381" s="25">
        <v>268</v>
      </c>
      <c r="N381" s="24">
        <f>M381/L381</f>
        <v>33.5</v>
      </c>
      <c r="O381" s="23"/>
    </row>
    <row r="382" spans="1:15" x14ac:dyDescent="0.2">
      <c r="A382" s="4">
        <v>681876</v>
      </c>
      <c r="B382" s="35" t="s">
        <v>666</v>
      </c>
      <c r="C382" s="2" t="s">
        <v>29</v>
      </c>
      <c r="D382" s="8">
        <f>69+5</f>
        <v>74</v>
      </c>
      <c r="E382" s="7">
        <f>7+0</f>
        <v>7</v>
      </c>
      <c r="F382" s="17">
        <f>28+2+11+10+1+5+5</f>
        <v>62</v>
      </c>
      <c r="G382" s="17">
        <f>1+0+1+0+1+2+0</f>
        <v>5</v>
      </c>
      <c r="H382" s="17">
        <f>424+46+91+134+4+41+38</f>
        <v>778</v>
      </c>
      <c r="I382" s="16">
        <f>H382/(F382-G382)</f>
        <v>13.649122807017545</v>
      </c>
      <c r="J382" s="17" t="s">
        <v>338</v>
      </c>
      <c r="K382" s="25">
        <f>1+7+11+18.4+8</f>
        <v>45.4</v>
      </c>
      <c r="L382" s="25">
        <f>0+0+3+6+3</f>
        <v>12</v>
      </c>
      <c r="M382" s="25">
        <f>13+41+68+101+42</f>
        <v>265</v>
      </c>
      <c r="N382" s="24">
        <f>M382/L382</f>
        <v>22.083333333333332</v>
      </c>
      <c r="O382" s="49" t="s">
        <v>1363</v>
      </c>
    </row>
    <row r="383" spans="1:15" s="54" customFormat="1" x14ac:dyDescent="0.2">
      <c r="A383" s="4"/>
      <c r="B383" s="35" t="s">
        <v>669</v>
      </c>
      <c r="C383" s="2" t="s">
        <v>21</v>
      </c>
      <c r="D383" s="8">
        <v>53</v>
      </c>
      <c r="E383" s="7">
        <v>2</v>
      </c>
      <c r="F383" s="17">
        <v>73</v>
      </c>
      <c r="G383" s="17">
        <v>6</v>
      </c>
      <c r="H383" s="17">
        <v>1214</v>
      </c>
      <c r="I383" s="16">
        <f>H383/(F383-G383)</f>
        <v>18.119402985074625</v>
      </c>
      <c r="J383" s="17">
        <v>91</v>
      </c>
      <c r="K383" s="25">
        <v>82</v>
      </c>
      <c r="L383" s="25">
        <v>21</v>
      </c>
      <c r="M383" s="25">
        <v>314</v>
      </c>
      <c r="N383" s="24">
        <f>M383/L383</f>
        <v>14.952380952380953</v>
      </c>
      <c r="O383" s="23"/>
    </row>
    <row r="384" spans="1:15" s="54" customFormat="1" x14ac:dyDescent="0.2">
      <c r="A384" s="4"/>
      <c r="B384" s="35" t="s">
        <v>670</v>
      </c>
      <c r="C384" s="2" t="s">
        <v>132</v>
      </c>
      <c r="D384" s="8">
        <f>5+5+13+14+12</f>
        <v>49</v>
      </c>
      <c r="E384" s="7"/>
      <c r="F384" s="17">
        <f>17+14+16+12+11</f>
        <v>70</v>
      </c>
      <c r="G384" s="17">
        <f>3+1+1+0</f>
        <v>5</v>
      </c>
      <c r="H384" s="17">
        <f>381+318+194+110+135</f>
        <v>1138</v>
      </c>
      <c r="I384" s="16">
        <f>H384/(F384-G384)</f>
        <v>17.507692307692309</v>
      </c>
      <c r="J384" s="17" t="s">
        <v>409</v>
      </c>
      <c r="K384" s="25">
        <f>98+53+25+0+15</f>
        <v>191</v>
      </c>
      <c r="L384" s="25">
        <f>22+10+11+0+3</f>
        <v>46</v>
      </c>
      <c r="M384" s="25">
        <f>330+289+120+0+77</f>
        <v>816</v>
      </c>
      <c r="N384" s="24">
        <f>M384/L384</f>
        <v>17.739130434782609</v>
      </c>
      <c r="O384" s="23"/>
    </row>
    <row r="385" spans="1:15" s="54" customFormat="1" x14ac:dyDescent="0.2">
      <c r="A385" s="4"/>
      <c r="B385" s="35" t="s">
        <v>671</v>
      </c>
      <c r="C385" s="2" t="s">
        <v>10</v>
      </c>
      <c r="D385" s="8">
        <v>6</v>
      </c>
      <c r="E385" s="7"/>
      <c r="F385" s="17">
        <v>14</v>
      </c>
      <c r="G385" s="17"/>
      <c r="H385" s="17">
        <v>261</v>
      </c>
      <c r="I385" s="16">
        <f>H385/(F385-G385)</f>
        <v>18.642857142857142</v>
      </c>
      <c r="J385" s="17">
        <v>64</v>
      </c>
      <c r="K385" s="25">
        <v>20</v>
      </c>
      <c r="L385" s="25">
        <v>5</v>
      </c>
      <c r="M385" s="25">
        <v>73</v>
      </c>
      <c r="N385" s="24">
        <f>M385/L385</f>
        <v>14.6</v>
      </c>
      <c r="O385" s="23"/>
    </row>
    <row r="386" spans="1:15" s="54" customFormat="1" x14ac:dyDescent="0.2">
      <c r="A386" s="4"/>
      <c r="B386" s="35" t="s">
        <v>672</v>
      </c>
      <c r="C386" s="2" t="s">
        <v>103</v>
      </c>
      <c r="D386" s="7">
        <f>39+2+4+6+1+6+4+1+1+2+0</f>
        <v>66</v>
      </c>
      <c r="E386" s="7"/>
      <c r="F386" s="17">
        <f>80+10+10+12+1+14+2+14+6+1+9+2</f>
        <v>161</v>
      </c>
      <c r="G386" s="17">
        <f>6+1+1+2+0</f>
        <v>10</v>
      </c>
      <c r="H386" s="17">
        <f>1121+198+234+244+2+154+15+257+87+12+114+48</f>
        <v>2486</v>
      </c>
      <c r="I386" s="16">
        <f>H386/(F386-G386)</f>
        <v>16.463576158940398</v>
      </c>
      <c r="J386" s="17">
        <v>105</v>
      </c>
      <c r="K386" s="25">
        <f>175+4+2+4+9+3+10</f>
        <v>207</v>
      </c>
      <c r="L386" s="25">
        <f>40+1+1+1</f>
        <v>43</v>
      </c>
      <c r="M386" s="25">
        <f>880+19+42+14+40+18+42</f>
        <v>1055</v>
      </c>
      <c r="N386" s="24">
        <f>M386/L386</f>
        <v>24.534883720930232</v>
      </c>
      <c r="O386" s="23"/>
    </row>
    <row r="387" spans="1:15" s="54" customFormat="1" x14ac:dyDescent="0.2">
      <c r="A387" s="4"/>
      <c r="B387" s="35" t="s">
        <v>673</v>
      </c>
      <c r="C387" s="2" t="s">
        <v>67</v>
      </c>
      <c r="D387" s="7">
        <v>11</v>
      </c>
      <c r="E387" s="7"/>
      <c r="F387" s="17">
        <v>32</v>
      </c>
      <c r="G387" s="17">
        <v>3</v>
      </c>
      <c r="H387" s="17">
        <v>311</v>
      </c>
      <c r="I387" s="16">
        <f>H387/(F387-G387)</f>
        <v>10.724137931034482</v>
      </c>
      <c r="J387" s="17">
        <v>32</v>
      </c>
      <c r="K387" s="25">
        <v>312</v>
      </c>
      <c r="L387" s="25">
        <v>56</v>
      </c>
      <c r="M387" s="25">
        <v>1029</v>
      </c>
      <c r="N387" s="24">
        <f>M387/L387</f>
        <v>18.375</v>
      </c>
      <c r="O387" s="23"/>
    </row>
    <row r="388" spans="1:15" s="54" customFormat="1" x14ac:dyDescent="0.2">
      <c r="A388" s="4"/>
      <c r="B388" s="34" t="s">
        <v>674</v>
      </c>
      <c r="C388" s="2" t="s">
        <v>237</v>
      </c>
      <c r="D388" s="7">
        <f>7+5+0+0</f>
        <v>12</v>
      </c>
      <c r="E388" s="7"/>
      <c r="F388" s="17">
        <f>13+9+6+1</f>
        <v>29</v>
      </c>
      <c r="G388" s="17">
        <f>4+1+0+0</f>
        <v>5</v>
      </c>
      <c r="H388" s="17">
        <f>159+189+45+0</f>
        <v>393</v>
      </c>
      <c r="I388" s="16">
        <f>H388/(F388-G388)</f>
        <v>16.375</v>
      </c>
      <c r="J388" s="17" t="s">
        <v>304</v>
      </c>
      <c r="K388" s="25">
        <f>117+166+78+4.4</f>
        <v>365.4</v>
      </c>
      <c r="L388" s="25">
        <f>32+51+20+3</f>
        <v>106</v>
      </c>
      <c r="M388" s="25">
        <f>377+472+250+1</f>
        <v>1100</v>
      </c>
      <c r="N388" s="24">
        <f>M388/L388</f>
        <v>10.377358490566039</v>
      </c>
      <c r="O388" s="23"/>
    </row>
    <row r="389" spans="1:15" s="54" customFormat="1" x14ac:dyDescent="0.2">
      <c r="A389" s="64"/>
      <c r="B389" s="65" t="s">
        <v>2687</v>
      </c>
      <c r="C389" s="58" t="s">
        <v>1660</v>
      </c>
      <c r="D389" s="59">
        <v>0</v>
      </c>
      <c r="E389" s="59"/>
      <c r="F389" s="60">
        <v>11</v>
      </c>
      <c r="G389" s="60">
        <v>1</v>
      </c>
      <c r="H389" s="60">
        <v>176</v>
      </c>
      <c r="I389" s="61">
        <f>H389/(F389-G389)</f>
        <v>17.600000000000001</v>
      </c>
      <c r="J389" s="60" t="s">
        <v>426</v>
      </c>
      <c r="K389" s="62">
        <v>49</v>
      </c>
      <c r="L389" s="62">
        <v>3</v>
      </c>
      <c r="M389" s="62">
        <v>227</v>
      </c>
      <c r="N389" s="63">
        <f>M389/L389</f>
        <v>75.666666666666671</v>
      </c>
      <c r="O389" s="66" t="s">
        <v>1472</v>
      </c>
    </row>
    <row r="390" spans="1:15" s="54" customFormat="1" x14ac:dyDescent="0.2">
      <c r="A390" s="57">
        <v>2163154</v>
      </c>
      <c r="B390" s="65" t="s">
        <v>2327</v>
      </c>
      <c r="C390" s="58" t="s">
        <v>2328</v>
      </c>
      <c r="D390" s="59">
        <f>0+0+2</f>
        <v>2</v>
      </c>
      <c r="E390" s="59">
        <f>0+0</f>
        <v>0</v>
      </c>
      <c r="F390" s="60">
        <f>2+10+16</f>
        <v>28</v>
      </c>
      <c r="G390" s="60">
        <f>2+5+5</f>
        <v>12</v>
      </c>
      <c r="H390" s="60">
        <f>8+52+93</f>
        <v>153</v>
      </c>
      <c r="I390" s="61">
        <f>H390/(F390-G390)</f>
        <v>9.5625</v>
      </c>
      <c r="J390" s="60" t="s">
        <v>2009</v>
      </c>
      <c r="K390" s="62">
        <f>7+33+57</f>
        <v>97</v>
      </c>
      <c r="L390" s="62">
        <f>1+7+20</f>
        <v>28</v>
      </c>
      <c r="M390" s="62">
        <f>18+92+208</f>
        <v>318</v>
      </c>
      <c r="N390" s="63">
        <f>M390/L390</f>
        <v>11.357142857142858</v>
      </c>
      <c r="O390" s="66" t="s">
        <v>1465</v>
      </c>
    </row>
    <row r="391" spans="1:15" x14ac:dyDescent="0.2">
      <c r="A391" s="4"/>
      <c r="B391" s="35" t="s">
        <v>675</v>
      </c>
      <c r="C391" s="2" t="s">
        <v>16</v>
      </c>
      <c r="D391" s="7">
        <v>4</v>
      </c>
      <c r="E391" s="7"/>
      <c r="F391" s="17">
        <f>11+4+5</f>
        <v>20</v>
      </c>
      <c r="G391" s="17">
        <f>1+3</f>
        <v>4</v>
      </c>
      <c r="H391" s="17">
        <f>20+3+14</f>
        <v>37</v>
      </c>
      <c r="I391" s="16">
        <f>H391/(F391-G391)</f>
        <v>2.3125</v>
      </c>
      <c r="J391" s="17">
        <v>21</v>
      </c>
      <c r="K391" s="25">
        <f>17+1+2</f>
        <v>20</v>
      </c>
      <c r="L391" s="25">
        <f>2+1+1</f>
        <v>4</v>
      </c>
      <c r="M391" s="25">
        <f>52+2+1</f>
        <v>55</v>
      </c>
      <c r="N391" s="24">
        <f>M391/L391</f>
        <v>13.75</v>
      </c>
      <c r="O391" s="23"/>
    </row>
    <row r="392" spans="1:15" x14ac:dyDescent="0.2">
      <c r="A392" s="4"/>
      <c r="B392" s="35" t="s">
        <v>676</v>
      </c>
      <c r="C392" s="2" t="s">
        <v>11</v>
      </c>
      <c r="D392" s="7">
        <f>2+2</f>
        <v>4</v>
      </c>
      <c r="E392" s="7"/>
      <c r="F392" s="17">
        <f>6+8+5</f>
        <v>19</v>
      </c>
      <c r="G392" s="17">
        <f>1+1+1</f>
        <v>3</v>
      </c>
      <c r="H392" s="17">
        <f>47+39+11</f>
        <v>97</v>
      </c>
      <c r="I392" s="16">
        <f>H392/(F392-G392)</f>
        <v>6.0625</v>
      </c>
      <c r="J392" s="17">
        <v>21</v>
      </c>
      <c r="K392" s="25">
        <f>4+2</f>
        <v>6</v>
      </c>
      <c r="L392" s="25">
        <f>1+1</f>
        <v>2</v>
      </c>
      <c r="M392" s="25">
        <f>38+10</f>
        <v>48</v>
      </c>
      <c r="N392" s="24">
        <f>M392/L392</f>
        <v>24</v>
      </c>
      <c r="O392" s="23"/>
    </row>
    <row r="393" spans="1:15" x14ac:dyDescent="0.2">
      <c r="A393" s="4">
        <v>681695</v>
      </c>
      <c r="B393" s="35" t="s">
        <v>677</v>
      </c>
      <c r="C393" s="2" t="s">
        <v>76</v>
      </c>
      <c r="D393" s="7">
        <f>1+4+2+4+1+0+3+1+1</f>
        <v>17</v>
      </c>
      <c r="E393" s="7">
        <f>0+0</f>
        <v>0</v>
      </c>
      <c r="F393" s="17">
        <f>7+1+2+4+6+9+1+5+5+5</f>
        <v>45</v>
      </c>
      <c r="G393" s="17">
        <f>1+0+0+2+0+0+1+1</f>
        <v>5</v>
      </c>
      <c r="H393" s="17">
        <f>8+1+3+3+17+58+0+16+3+15</f>
        <v>124</v>
      </c>
      <c r="I393" s="16">
        <f>H393/(F393-G393)</f>
        <v>3.1</v>
      </c>
      <c r="J393" s="17">
        <v>23</v>
      </c>
      <c r="K393" s="25">
        <f>15+1+4+19+19+22+15.1+10</f>
        <v>105.1</v>
      </c>
      <c r="L393" s="25">
        <f>4+1+1+4+3+9+4+2</f>
        <v>28</v>
      </c>
      <c r="M393" s="25">
        <f>70+17+39+41+109+60+103</f>
        <v>439</v>
      </c>
      <c r="N393" s="24">
        <f>M393/L393</f>
        <v>15.678571428571429</v>
      </c>
      <c r="O393" s="49" t="s">
        <v>1474</v>
      </c>
    </row>
    <row r="394" spans="1:15" x14ac:dyDescent="0.2">
      <c r="A394" s="4"/>
      <c r="B394" s="35" t="s">
        <v>32</v>
      </c>
      <c r="C394" s="2"/>
      <c r="D394" s="7">
        <f>5+2</f>
        <v>7</v>
      </c>
      <c r="E394" s="7"/>
      <c r="F394" s="17">
        <f>9+17+13</f>
        <v>39</v>
      </c>
      <c r="G394" s="17">
        <f>2+1</f>
        <v>3</v>
      </c>
      <c r="H394" s="17">
        <f>16+85+100</f>
        <v>201</v>
      </c>
      <c r="I394" s="16">
        <f>H394/(F394-G394)</f>
        <v>5.583333333333333</v>
      </c>
      <c r="J394" s="17">
        <v>17</v>
      </c>
      <c r="K394" s="25">
        <f>17+20+31+2</f>
        <v>70</v>
      </c>
      <c r="L394" s="25">
        <f>5+11</f>
        <v>16</v>
      </c>
      <c r="M394" s="25">
        <f>38+63+135+11</f>
        <v>247</v>
      </c>
      <c r="N394" s="24">
        <f>M394/L394</f>
        <v>15.4375</v>
      </c>
      <c r="O394" s="23"/>
    </row>
    <row r="395" spans="1:15" x14ac:dyDescent="0.2">
      <c r="A395" s="4"/>
      <c r="B395" s="34" t="s">
        <v>678</v>
      </c>
      <c r="C395" s="2" t="s">
        <v>220</v>
      </c>
      <c r="D395" s="7">
        <f>0</f>
        <v>0</v>
      </c>
      <c r="E395" s="7"/>
      <c r="F395" s="17">
        <f>4</f>
        <v>4</v>
      </c>
      <c r="G395" s="17">
        <f>1</f>
        <v>1</v>
      </c>
      <c r="H395" s="17">
        <f>34</f>
        <v>34</v>
      </c>
      <c r="I395" s="16">
        <f>H395/(F395-G395)</f>
        <v>11.333333333333334</v>
      </c>
      <c r="J395" s="17">
        <f>30</f>
        <v>30</v>
      </c>
      <c r="K395" s="25">
        <f>24</f>
        <v>24</v>
      </c>
      <c r="L395" s="25">
        <f>5</f>
        <v>5</v>
      </c>
      <c r="M395" s="25">
        <f>125</f>
        <v>125</v>
      </c>
      <c r="N395" s="24">
        <f>M395/L395</f>
        <v>25</v>
      </c>
      <c r="O395" s="23"/>
    </row>
    <row r="396" spans="1:15" s="54" customFormat="1" x14ac:dyDescent="0.2">
      <c r="A396" s="4"/>
      <c r="B396" s="34" t="s">
        <v>679</v>
      </c>
      <c r="C396" s="2" t="s">
        <v>259</v>
      </c>
      <c r="D396" s="7">
        <v>3</v>
      </c>
      <c r="E396" s="7"/>
      <c r="F396" s="17">
        <v>5</v>
      </c>
      <c r="G396" s="17">
        <v>0</v>
      </c>
      <c r="H396" s="17">
        <v>10</v>
      </c>
      <c r="I396" s="16">
        <f>H396/(F396-G396)</f>
        <v>2</v>
      </c>
      <c r="J396" s="17">
        <v>3</v>
      </c>
      <c r="K396" s="25">
        <v>3</v>
      </c>
      <c r="L396" s="25">
        <v>1</v>
      </c>
      <c r="M396" s="25">
        <v>11</v>
      </c>
      <c r="N396" s="24">
        <f>M396/L396</f>
        <v>11</v>
      </c>
      <c r="O396" s="23"/>
    </row>
    <row r="397" spans="1:15" x14ac:dyDescent="0.2">
      <c r="A397" s="4"/>
      <c r="B397" s="34" t="s">
        <v>681</v>
      </c>
      <c r="C397" s="2" t="s">
        <v>353</v>
      </c>
      <c r="D397" s="7">
        <f>2</f>
        <v>2</v>
      </c>
      <c r="E397" s="7"/>
      <c r="F397" s="17">
        <f>5</f>
        <v>5</v>
      </c>
      <c r="G397" s="17">
        <f>0</f>
        <v>0</v>
      </c>
      <c r="H397" s="17">
        <f>39</f>
        <v>39</v>
      </c>
      <c r="I397" s="16">
        <f>H397/(F397-G397)</f>
        <v>7.8</v>
      </c>
      <c r="J397" s="17">
        <v>26</v>
      </c>
      <c r="K397" s="25">
        <f>37</f>
        <v>37</v>
      </c>
      <c r="L397" s="25">
        <f>6</f>
        <v>6</v>
      </c>
      <c r="M397" s="25">
        <f>126</f>
        <v>126</v>
      </c>
      <c r="N397" s="24">
        <f>M397/L397</f>
        <v>21</v>
      </c>
      <c r="O397" s="23"/>
    </row>
    <row r="398" spans="1:15" x14ac:dyDescent="0.2">
      <c r="A398" s="4"/>
      <c r="B398" s="35" t="s">
        <v>680</v>
      </c>
      <c r="C398" s="2" t="s">
        <v>149</v>
      </c>
      <c r="D398" s="7">
        <f>1+9</f>
        <v>10</v>
      </c>
      <c r="E398" s="7"/>
      <c r="F398" s="17">
        <f>10+14</f>
        <v>24</v>
      </c>
      <c r="G398" s="17">
        <f>2+2</f>
        <v>4</v>
      </c>
      <c r="H398" s="17">
        <f>34+36</f>
        <v>70</v>
      </c>
      <c r="I398" s="16">
        <f>H398/(F398-G398)</f>
        <v>3.5</v>
      </c>
      <c r="J398" s="17">
        <v>21</v>
      </c>
      <c r="K398" s="25">
        <f>2+13</f>
        <v>15</v>
      </c>
      <c r="L398" s="25">
        <f>1+1</f>
        <v>2</v>
      </c>
      <c r="M398" s="25">
        <f>10+51</f>
        <v>61</v>
      </c>
      <c r="N398" s="24">
        <f>M398/L398</f>
        <v>30.5</v>
      </c>
      <c r="O398" s="23"/>
    </row>
    <row r="399" spans="1:15" x14ac:dyDescent="0.2">
      <c r="A399" s="4"/>
      <c r="B399" s="35" t="s">
        <v>682</v>
      </c>
      <c r="C399" s="2" t="s">
        <v>133</v>
      </c>
      <c r="D399" s="7">
        <f>4+3+5+8+1+3+5+4+0+1</f>
        <v>34</v>
      </c>
      <c r="E399" s="7"/>
      <c r="F399" s="17">
        <f>7+15+11+2+7+1+12+11+1+11+1+1+14+13+2+9</f>
        <v>118</v>
      </c>
      <c r="G399" s="17">
        <f>1+1+1+1+0+0+0</f>
        <v>4</v>
      </c>
      <c r="H399" s="17">
        <f>15+36+49+1+40+2+138+101+3+71+5+7+149+170+13+68</f>
        <v>868</v>
      </c>
      <c r="I399" s="16">
        <f>H399/(F399-G399)</f>
        <v>7.6140350877192979</v>
      </c>
      <c r="J399" s="17">
        <v>82</v>
      </c>
      <c r="K399" s="25">
        <f>7+25+26+5+30+4+38+24+46+6+6+61+84+17</f>
        <v>379</v>
      </c>
      <c r="L399" s="25">
        <f>2+9+5+1+10+2+9+4+11+22+18+4</f>
        <v>97</v>
      </c>
      <c r="M399" s="25">
        <f>33+40+89+9+86+17+70+93+138+13+8+157+345+83</f>
        <v>1181</v>
      </c>
      <c r="N399" s="24">
        <f>M399/L399</f>
        <v>12.175257731958762</v>
      </c>
      <c r="O399" s="23"/>
    </row>
    <row r="400" spans="1:15" x14ac:dyDescent="0.2">
      <c r="A400" s="4"/>
      <c r="B400" s="35" t="s">
        <v>683</v>
      </c>
      <c r="C400" s="2" t="s">
        <v>100</v>
      </c>
      <c r="D400" s="7">
        <f>8+8+5</f>
        <v>21</v>
      </c>
      <c r="E400" s="7"/>
      <c r="F400" s="17">
        <f>30+11+6</f>
        <v>47</v>
      </c>
      <c r="G400" s="17">
        <f>2+3</f>
        <v>5</v>
      </c>
      <c r="H400" s="17">
        <f>717+241+109</f>
        <v>1067</v>
      </c>
      <c r="I400" s="16">
        <f>H400/(F400-G400)</f>
        <v>25.404761904761905</v>
      </c>
      <c r="J400" s="17">
        <v>123</v>
      </c>
      <c r="K400" s="25">
        <f>226+50+47</f>
        <v>323</v>
      </c>
      <c r="L400" s="25">
        <f>34+13+10</f>
        <v>57</v>
      </c>
      <c r="M400" s="25">
        <f>690+277+140</f>
        <v>1107</v>
      </c>
      <c r="N400" s="24">
        <f>M400/L400</f>
        <v>19.421052631578949</v>
      </c>
      <c r="O400" s="23"/>
    </row>
    <row r="401" spans="1:15" s="54" customFormat="1" x14ac:dyDescent="0.2">
      <c r="A401" s="4">
        <v>1686830</v>
      </c>
      <c r="B401" s="35" t="s">
        <v>1851</v>
      </c>
      <c r="C401" s="2" t="s">
        <v>1852</v>
      </c>
      <c r="D401" s="7">
        <f>0+0</f>
        <v>0</v>
      </c>
      <c r="E401" s="7">
        <f>0</f>
        <v>0</v>
      </c>
      <c r="F401" s="17">
        <f>9</f>
        <v>9</v>
      </c>
      <c r="G401" s="17">
        <f>4</f>
        <v>4</v>
      </c>
      <c r="H401" s="17">
        <f>88</f>
        <v>88</v>
      </c>
      <c r="I401" s="16">
        <f>H401/(F401-G401)</f>
        <v>17.600000000000001</v>
      </c>
      <c r="J401" s="17" t="s">
        <v>279</v>
      </c>
      <c r="K401" s="25">
        <f>22</f>
        <v>22</v>
      </c>
      <c r="L401" s="25">
        <f>3</f>
        <v>3</v>
      </c>
      <c r="M401" s="25">
        <f>77</f>
        <v>77</v>
      </c>
      <c r="N401" s="24">
        <f>M401/L401</f>
        <v>25.666666666666668</v>
      </c>
      <c r="O401" s="49" t="s">
        <v>1618</v>
      </c>
    </row>
    <row r="402" spans="1:15" x14ac:dyDescent="0.2">
      <c r="A402" s="4"/>
      <c r="B402" s="35" t="s">
        <v>684</v>
      </c>
      <c r="C402" s="2" t="s">
        <v>9</v>
      </c>
      <c r="D402" s="7">
        <v>58</v>
      </c>
      <c r="E402" s="7"/>
      <c r="F402" s="17">
        <v>150</v>
      </c>
      <c r="G402" s="17">
        <v>27</v>
      </c>
      <c r="H402" s="17">
        <v>1685</v>
      </c>
      <c r="I402" s="16">
        <f>H402/(F402-G402)</f>
        <v>13.699186991869919</v>
      </c>
      <c r="J402" s="17" t="s">
        <v>410</v>
      </c>
      <c r="K402" s="25">
        <v>764</v>
      </c>
      <c r="L402" s="25">
        <v>132</v>
      </c>
      <c r="M402" s="25">
        <v>2062</v>
      </c>
      <c r="N402" s="24">
        <f>M402/L402</f>
        <v>15.621212121212121</v>
      </c>
      <c r="O402" s="23"/>
    </row>
    <row r="403" spans="1:15" x14ac:dyDescent="0.2">
      <c r="A403" s="4"/>
      <c r="B403" s="35" t="s">
        <v>685</v>
      </c>
      <c r="C403" s="2" t="s">
        <v>12</v>
      </c>
      <c r="D403" s="7">
        <v>1</v>
      </c>
      <c r="E403" s="7"/>
      <c r="F403" s="17">
        <v>9</v>
      </c>
      <c r="G403" s="17">
        <v>1</v>
      </c>
      <c r="H403" s="17">
        <v>67</v>
      </c>
      <c r="I403" s="16">
        <f>H403/(F403-G403)</f>
        <v>8.375</v>
      </c>
      <c r="J403" s="17">
        <v>26</v>
      </c>
      <c r="K403" s="25">
        <v>41</v>
      </c>
      <c r="L403" s="25">
        <v>12</v>
      </c>
      <c r="M403" s="25">
        <v>142</v>
      </c>
      <c r="N403" s="24">
        <f>M403/L403</f>
        <v>11.833333333333334</v>
      </c>
      <c r="O403" s="23"/>
    </row>
    <row r="404" spans="1:15" s="5" customFormat="1" x14ac:dyDescent="0.2">
      <c r="A404" s="4"/>
      <c r="B404" s="35" t="s">
        <v>686</v>
      </c>
      <c r="C404" s="2" t="s">
        <v>33</v>
      </c>
      <c r="D404" s="7">
        <v>23</v>
      </c>
      <c r="E404" s="7"/>
      <c r="F404" s="17">
        <v>59</v>
      </c>
      <c r="G404" s="17">
        <v>5</v>
      </c>
      <c r="H404" s="17">
        <v>525</v>
      </c>
      <c r="I404" s="16">
        <f>H404/(F404-G404)</f>
        <v>9.7222222222222214</v>
      </c>
      <c r="J404" s="17">
        <v>51</v>
      </c>
      <c r="K404" s="25">
        <v>307</v>
      </c>
      <c r="L404" s="25">
        <v>58</v>
      </c>
      <c r="M404" s="25">
        <v>1028</v>
      </c>
      <c r="N404" s="24">
        <f>M404/L404</f>
        <v>17.724137931034484</v>
      </c>
      <c r="O404" s="23"/>
    </row>
    <row r="405" spans="1:15" x14ac:dyDescent="0.2">
      <c r="A405" s="4"/>
      <c r="B405" s="35" t="s">
        <v>687</v>
      </c>
      <c r="C405" s="2" t="s">
        <v>121</v>
      </c>
      <c r="D405" s="7">
        <f>52+5+1</f>
        <v>58</v>
      </c>
      <c r="E405" s="7"/>
      <c r="F405" s="17">
        <f>101+7+9</f>
        <v>117</v>
      </c>
      <c r="G405" s="17">
        <f>15+2+4</f>
        <v>21</v>
      </c>
      <c r="H405" s="17">
        <f>1776+63+157</f>
        <v>1996</v>
      </c>
      <c r="I405" s="16">
        <f>H405/(F405-G405)</f>
        <v>20.791666666666668</v>
      </c>
      <c r="J405" s="17">
        <v>103</v>
      </c>
      <c r="K405" s="25">
        <f>739+23+141</f>
        <v>903</v>
      </c>
      <c r="L405" s="25">
        <f>114+31</f>
        <v>145</v>
      </c>
      <c r="M405" s="25">
        <f>2339+67+408</f>
        <v>2814</v>
      </c>
      <c r="N405" s="24">
        <f>M405/L405</f>
        <v>19.406896551724138</v>
      </c>
      <c r="O405" s="23"/>
    </row>
    <row r="406" spans="1:15" s="54" customFormat="1" x14ac:dyDescent="0.2">
      <c r="A406" s="4">
        <v>968330</v>
      </c>
      <c r="B406" s="35" t="s">
        <v>688</v>
      </c>
      <c r="C406" s="2" t="s">
        <v>357</v>
      </c>
      <c r="D406" s="7">
        <f>0+1</f>
        <v>1</v>
      </c>
      <c r="E406" s="7">
        <f>0</f>
        <v>0</v>
      </c>
      <c r="F406" s="17">
        <f>5+5</f>
        <v>10</v>
      </c>
      <c r="G406" s="17">
        <f>0+2</f>
        <v>2</v>
      </c>
      <c r="H406" s="17">
        <f>46+27</f>
        <v>73</v>
      </c>
      <c r="I406" s="16">
        <f>H406/(F406-G406)</f>
        <v>9.125</v>
      </c>
      <c r="J406" s="17">
        <v>20</v>
      </c>
      <c r="K406" s="25">
        <f>6+17</f>
        <v>23</v>
      </c>
      <c r="L406" s="25">
        <f>1+0</f>
        <v>1</v>
      </c>
      <c r="M406" s="25">
        <f>18+113</f>
        <v>131</v>
      </c>
      <c r="N406" s="24">
        <f>M406/L406</f>
        <v>131</v>
      </c>
      <c r="O406" s="23"/>
    </row>
    <row r="407" spans="1:15" s="54" customFormat="1" x14ac:dyDescent="0.2">
      <c r="A407" s="4"/>
      <c r="B407" s="35" t="s">
        <v>226</v>
      </c>
      <c r="C407" s="2" t="s">
        <v>63</v>
      </c>
      <c r="D407" s="7">
        <f>19+2+6+1+1+1+3+10</f>
        <v>43</v>
      </c>
      <c r="E407" s="7"/>
      <c r="F407" s="17">
        <f>68+9+9+3+8+11+8</f>
        <v>116</v>
      </c>
      <c r="G407" s="17">
        <f>32+3+2+1+2+1+4</f>
        <v>45</v>
      </c>
      <c r="H407" s="17">
        <f>123+14+45+17+12+34</f>
        <v>245</v>
      </c>
      <c r="I407" s="16">
        <f>H407/(F407-G407)</f>
        <v>3.4507042253521125</v>
      </c>
      <c r="J407" s="17" t="s">
        <v>412</v>
      </c>
      <c r="K407" s="25">
        <f>144+39+58+3+21+54+78+11</f>
        <v>408</v>
      </c>
      <c r="L407" s="25">
        <f>13+8+10+2+3+12+6+2</f>
        <v>56</v>
      </c>
      <c r="M407" s="25">
        <f>462+150+217+13+96+175+310+18</f>
        <v>1441</v>
      </c>
      <c r="N407" s="24">
        <f>M407/L407</f>
        <v>25.732142857142858</v>
      </c>
      <c r="O407" s="23"/>
    </row>
    <row r="408" spans="1:15" s="5" customFormat="1" x14ac:dyDescent="0.2">
      <c r="A408" s="4"/>
      <c r="B408" s="35" t="s">
        <v>690</v>
      </c>
      <c r="C408" s="2" t="s">
        <v>78</v>
      </c>
      <c r="D408" s="7">
        <f>14+3+7+3+7+2+4+1+2+9+3+6+0+14+0+4+0</f>
        <v>79</v>
      </c>
      <c r="E408" s="7"/>
      <c r="F408" s="17">
        <f>63+4+11+3+10+1+18+2+6+9+2+1+1+14+10+13+2+15+1+8+1</f>
        <v>195</v>
      </c>
      <c r="G408" s="17">
        <f>20+2+1+5+1+1+1+2+0+2+0+0+0</f>
        <v>35</v>
      </c>
      <c r="H408" s="17">
        <f>512+29+82+5+306+14+763+78+66+176+28+2+165+216+250+7+228+1+239+31</f>
        <v>3198</v>
      </c>
      <c r="I408" s="16">
        <f>H408/(F408-G408)</f>
        <v>19.987500000000001</v>
      </c>
      <c r="J408" s="17">
        <v>115</v>
      </c>
      <c r="K408" s="25">
        <f>156+5+24+9+2+0+4+10</f>
        <v>210</v>
      </c>
      <c r="L408" s="25">
        <f>26+1+5+0+0+3</f>
        <v>35</v>
      </c>
      <c r="M408" s="25">
        <f>485+36+79+14+5+0+5+43</f>
        <v>667</v>
      </c>
      <c r="N408" s="24">
        <f>M408/L408</f>
        <v>19.057142857142857</v>
      </c>
      <c r="O408" s="23"/>
    </row>
    <row r="409" spans="1:15" s="54" customFormat="1" x14ac:dyDescent="0.2">
      <c r="A409" s="4">
        <v>883225</v>
      </c>
      <c r="B409" s="51" t="s">
        <v>689</v>
      </c>
      <c r="C409" s="2" t="s">
        <v>33</v>
      </c>
      <c r="D409" s="7">
        <f>104+3+7+1+7+4+3+2+1</f>
        <v>132</v>
      </c>
      <c r="E409" s="7"/>
      <c r="F409" s="17">
        <f>152+1+15+1+9+5+1+1</f>
        <v>185</v>
      </c>
      <c r="G409" s="17">
        <f>11+4+1+1</f>
        <v>17</v>
      </c>
      <c r="H409" s="17">
        <f>4072+33+498+70+340+116+21+26+19</f>
        <v>5195</v>
      </c>
      <c r="I409" s="16">
        <f>H409/(F409-G409)</f>
        <v>30.922619047619047</v>
      </c>
      <c r="J409" s="17">
        <v>209</v>
      </c>
      <c r="K409" s="25">
        <f>1286+22+5+2+8</f>
        <v>1323</v>
      </c>
      <c r="L409" s="25">
        <f>195+3+1</f>
        <v>199</v>
      </c>
      <c r="M409" s="25">
        <f>3748+93+20+15+40</f>
        <v>3916</v>
      </c>
      <c r="N409" s="24">
        <f>M409/L409</f>
        <v>19.678391959798994</v>
      </c>
      <c r="O409" s="23"/>
    </row>
    <row r="410" spans="1:15" s="54" customFormat="1" x14ac:dyDescent="0.2">
      <c r="A410" s="4">
        <v>1099556</v>
      </c>
      <c r="B410" s="35" t="s">
        <v>1312</v>
      </c>
      <c r="C410" s="2" t="s">
        <v>77</v>
      </c>
      <c r="D410" s="7">
        <f>8+6+7+1+9+6+0+4+1+3</f>
        <v>45</v>
      </c>
      <c r="E410" s="7">
        <f>0</f>
        <v>0</v>
      </c>
      <c r="F410" s="17">
        <f>11+12+2+12+2+11+3+13+1+6+1+1</f>
        <v>75</v>
      </c>
      <c r="G410" s="17">
        <f>1+1+2+2+1+1+2+0+0+0+0</f>
        <v>10</v>
      </c>
      <c r="H410" s="17">
        <f>16+160+5+77+6+70+11+104+14+26+4+5</f>
        <v>498</v>
      </c>
      <c r="I410" s="16">
        <f>H410/(F410-G410)</f>
        <v>7.6615384615384619</v>
      </c>
      <c r="J410" s="17" t="s">
        <v>411</v>
      </c>
      <c r="K410" s="25">
        <f>49+75+8+41+45+89+26+89+4+48+2</f>
        <v>476</v>
      </c>
      <c r="L410" s="25">
        <f>7+14+2+6+15+27+5+20+0+8+0</f>
        <v>104</v>
      </c>
      <c r="M410" s="25">
        <f>107+168+13+147+127+174+40+319+14+174+12</f>
        <v>1295</v>
      </c>
      <c r="N410" s="24">
        <f>M410/L410</f>
        <v>12.451923076923077</v>
      </c>
      <c r="O410" s="49" t="s">
        <v>1364</v>
      </c>
    </row>
    <row r="411" spans="1:15" x14ac:dyDescent="0.2">
      <c r="A411" s="4"/>
      <c r="B411" s="35" t="s">
        <v>692</v>
      </c>
      <c r="C411" s="2" t="s">
        <v>225</v>
      </c>
      <c r="D411" s="7">
        <f>3+4+2+2+2+4+3+2+0+2</f>
        <v>24</v>
      </c>
      <c r="E411" s="7"/>
      <c r="F411" s="17">
        <f>7+1+6+5+10+6+8+1+11+9+1+5</f>
        <v>70</v>
      </c>
      <c r="G411" s="17">
        <f>2+1+3+1+2+2+4+5+4+0+1</f>
        <v>25</v>
      </c>
      <c r="H411" s="17">
        <f>37+3+17+52+27+21+31+58+79+11+29</f>
        <v>365</v>
      </c>
      <c r="I411" s="16">
        <f>H411/(F411-G411)</f>
        <v>8.1111111111111107</v>
      </c>
      <c r="J411" s="17">
        <v>22</v>
      </c>
      <c r="K411" s="25">
        <f>49+5+55+63+62+30+16+2+83+15+2+8</f>
        <v>390</v>
      </c>
      <c r="L411" s="25">
        <f>15+2+9+10+18+4+3+1+8+2+1+1</f>
        <v>74</v>
      </c>
      <c r="M411" s="25">
        <f>160+6+163+125+117+52+6+322+304+90+17+62</f>
        <v>1424</v>
      </c>
      <c r="N411" s="24">
        <f>M411/L411</f>
        <v>19.243243243243242</v>
      </c>
      <c r="O411" s="23"/>
    </row>
    <row r="412" spans="1:15" s="54" customFormat="1" x14ac:dyDescent="0.2">
      <c r="A412" s="4"/>
      <c r="B412" s="35" t="s">
        <v>691</v>
      </c>
      <c r="C412" s="2" t="s">
        <v>14</v>
      </c>
      <c r="D412" s="7">
        <f>3+4</f>
        <v>7</v>
      </c>
      <c r="E412" s="7"/>
      <c r="F412" s="17">
        <f>14+7+2</f>
        <v>23</v>
      </c>
      <c r="G412" s="17">
        <f>3+2</f>
        <v>5</v>
      </c>
      <c r="H412" s="17">
        <f>26+23+17</f>
        <v>66</v>
      </c>
      <c r="I412" s="16">
        <f>H412/(F412-G412)</f>
        <v>3.6666666666666665</v>
      </c>
      <c r="J412" s="17">
        <v>10</v>
      </c>
      <c r="K412" s="25">
        <f>10+5+6</f>
        <v>21</v>
      </c>
      <c r="L412" s="25">
        <f>3+1</f>
        <v>4</v>
      </c>
      <c r="M412" s="25">
        <f>38+13+21</f>
        <v>72</v>
      </c>
      <c r="N412" s="24">
        <f>M412/L412</f>
        <v>18</v>
      </c>
      <c r="O412" s="23"/>
    </row>
    <row r="413" spans="1:15" x14ac:dyDescent="0.2">
      <c r="A413" s="4">
        <v>1047514</v>
      </c>
      <c r="B413" s="35" t="s">
        <v>2088</v>
      </c>
      <c r="C413" s="2" t="s">
        <v>2089</v>
      </c>
      <c r="D413" s="7">
        <f>0+10+8</f>
        <v>18</v>
      </c>
      <c r="E413" s="7">
        <f>0+6</f>
        <v>6</v>
      </c>
      <c r="F413" s="17">
        <f>9+10+13</f>
        <v>32</v>
      </c>
      <c r="G413" s="17">
        <f>2+0+2</f>
        <v>4</v>
      </c>
      <c r="H413" s="17">
        <f>101+23+124</f>
        <v>248</v>
      </c>
      <c r="I413" s="16">
        <f>H413/(F413-G413)</f>
        <v>8.8571428571428577</v>
      </c>
      <c r="J413" s="17" t="s">
        <v>2550</v>
      </c>
      <c r="K413" s="25">
        <f>4+4.3+13</f>
        <v>21.3</v>
      </c>
      <c r="L413" s="25">
        <f>2+2+6</f>
        <v>10</v>
      </c>
      <c r="M413" s="25">
        <f>7+9+51</f>
        <v>67</v>
      </c>
      <c r="N413" s="24">
        <f>M413/L413</f>
        <v>6.7</v>
      </c>
      <c r="O413" s="49" t="s">
        <v>1795</v>
      </c>
    </row>
    <row r="414" spans="1:15" x14ac:dyDescent="0.2">
      <c r="A414" s="4">
        <v>826526</v>
      </c>
      <c r="B414" s="35" t="s">
        <v>693</v>
      </c>
      <c r="C414" s="2" t="s">
        <v>339</v>
      </c>
      <c r="D414" s="8">
        <f>73+18+8+14+8+8</f>
        <v>129</v>
      </c>
      <c r="E414" s="7">
        <f>3+1+4</f>
        <v>8</v>
      </c>
      <c r="F414" s="17">
        <f>11+1+1+12+3+1+9+13+4+10+12+12+8+1+13+2+11+13+9+11+10+6</f>
        <v>173</v>
      </c>
      <c r="G414" s="17">
        <f>1+2+1+1+2+2+1+3+0+3+0+1+1+0+2+1+0</f>
        <v>21</v>
      </c>
      <c r="H414" s="17">
        <f>145+22+8+266+25+10+273+166+49+218+159+151+36+1+93+33+144+334+202+206+118+54</f>
        <v>2713</v>
      </c>
      <c r="I414" s="16">
        <f>H414/(F414-G414)</f>
        <v>17.848684210526315</v>
      </c>
      <c r="J414" s="17" t="s">
        <v>293</v>
      </c>
      <c r="K414" s="25">
        <f>3+46+4+6+7+3+5+8+1+2+0</f>
        <v>85</v>
      </c>
      <c r="L414" s="25">
        <f>11+2+1+0+1+0+0</f>
        <v>15</v>
      </c>
      <c r="M414" s="25">
        <f>15+171+20+23+20+13+12+43+10+16+0</f>
        <v>343</v>
      </c>
      <c r="N414" s="24">
        <f>M414/L414</f>
        <v>22.866666666666667</v>
      </c>
      <c r="O414" s="49" t="s">
        <v>1365</v>
      </c>
    </row>
    <row r="415" spans="1:15" x14ac:dyDescent="0.2">
      <c r="A415" s="57">
        <v>681884</v>
      </c>
      <c r="B415" s="67" t="s">
        <v>1308</v>
      </c>
      <c r="C415" s="58" t="s">
        <v>1630</v>
      </c>
      <c r="D415" s="59">
        <v>2</v>
      </c>
      <c r="E415" s="59">
        <f>0+0+0+0</f>
        <v>0</v>
      </c>
      <c r="F415" s="60">
        <f>9+1+13+1+13+10+15+13+13+5+9+11+6+5+7+8</f>
        <v>139</v>
      </c>
      <c r="G415" s="60">
        <f>2+1+3+0+2+4+4+3+3+2+1+1+0+2+2+4</f>
        <v>34</v>
      </c>
      <c r="H415" s="60">
        <f>18+3+55+0+67+44+134+136+132+26+108+53+6+13+26+29</f>
        <v>850</v>
      </c>
      <c r="I415" s="61">
        <f>H415/(F415-G415)</f>
        <v>8.0952380952380949</v>
      </c>
      <c r="J415" s="60">
        <v>50</v>
      </c>
      <c r="K415" s="62">
        <f>44+1+107+6+89+91+5+107.2+153.5+(0.4)+119.3+4+39+85+92+89+43+55+105.2+0.4</f>
        <v>1236.0000000000002</v>
      </c>
      <c r="L415" s="62">
        <f>8+0+24+1+19+18+1+30+37+23+1+8+12+20+17+9+14+29</f>
        <v>271</v>
      </c>
      <c r="M415" s="62">
        <f>88+16+353+17+261+14+400+502+346+8+122+287+243+307+97+201+301</f>
        <v>3563</v>
      </c>
      <c r="N415" s="63">
        <f>M415/L415</f>
        <v>13.14760147601476</v>
      </c>
      <c r="O415" s="66" t="s">
        <v>2716</v>
      </c>
    </row>
    <row r="416" spans="1:15" x14ac:dyDescent="0.2">
      <c r="A416" s="4"/>
      <c r="B416" s="34" t="s">
        <v>694</v>
      </c>
      <c r="C416" s="2" t="s">
        <v>43</v>
      </c>
      <c r="D416" s="7">
        <f>4</f>
        <v>4</v>
      </c>
      <c r="E416" s="7"/>
      <c r="F416" s="17">
        <f>6</f>
        <v>6</v>
      </c>
      <c r="G416" s="17">
        <f>0</f>
        <v>0</v>
      </c>
      <c r="H416" s="17">
        <f>69</f>
        <v>69</v>
      </c>
      <c r="I416" s="16">
        <f>H416/(F416-G416)</f>
        <v>11.5</v>
      </c>
      <c r="J416" s="17">
        <v>42</v>
      </c>
      <c r="K416" s="25">
        <f>58.4</f>
        <v>58.4</v>
      </c>
      <c r="L416" s="25">
        <f>10</f>
        <v>10</v>
      </c>
      <c r="M416" s="25">
        <f>287</f>
        <v>287</v>
      </c>
      <c r="N416" s="24">
        <f>M416/L416</f>
        <v>28.7</v>
      </c>
      <c r="O416" s="23"/>
    </row>
    <row r="417" spans="1:15" x14ac:dyDescent="0.2">
      <c r="A417" s="4"/>
      <c r="B417" s="35" t="s">
        <v>695</v>
      </c>
      <c r="C417" s="2" t="s">
        <v>14</v>
      </c>
      <c r="D417" s="7">
        <v>12</v>
      </c>
      <c r="E417" s="7"/>
      <c r="F417" s="17">
        <v>20</v>
      </c>
      <c r="G417" s="17">
        <v>5</v>
      </c>
      <c r="H417" s="17">
        <v>197</v>
      </c>
      <c r="I417" s="16">
        <f>H417/(F417-G417)</f>
        <v>13.133333333333333</v>
      </c>
      <c r="J417" s="17">
        <v>41</v>
      </c>
      <c r="K417" s="25">
        <v>121</v>
      </c>
      <c r="L417" s="25">
        <v>22</v>
      </c>
      <c r="M417" s="25">
        <v>317</v>
      </c>
      <c r="N417" s="24">
        <f>M417/L417</f>
        <v>14.409090909090908</v>
      </c>
      <c r="O417" s="23"/>
    </row>
    <row r="418" spans="1:15" s="54" customFormat="1" x14ac:dyDescent="0.2">
      <c r="A418" s="4"/>
      <c r="B418" s="35" t="s">
        <v>696</v>
      </c>
      <c r="C418" s="2" t="s">
        <v>43</v>
      </c>
      <c r="D418" s="7"/>
      <c r="E418" s="7"/>
      <c r="F418" s="17">
        <v>5</v>
      </c>
      <c r="G418" s="17">
        <v>2</v>
      </c>
      <c r="H418" s="17">
        <v>2</v>
      </c>
      <c r="I418" s="16">
        <f>H418/(F418-G418)</f>
        <v>0.66666666666666663</v>
      </c>
      <c r="J418" s="17">
        <v>2</v>
      </c>
      <c r="K418" s="25"/>
      <c r="L418" s="25"/>
      <c r="M418" s="25"/>
      <c r="N418" s="24" t="e">
        <f>M418/L418</f>
        <v>#DIV/0!</v>
      </c>
      <c r="O418" s="23"/>
    </row>
    <row r="419" spans="1:15" x14ac:dyDescent="0.2">
      <c r="A419" s="4"/>
      <c r="B419" s="35" t="s">
        <v>697</v>
      </c>
      <c r="C419" s="2" t="s">
        <v>88</v>
      </c>
      <c r="D419" s="7">
        <f>1+3</f>
        <v>4</v>
      </c>
      <c r="E419" s="7"/>
      <c r="F419" s="17">
        <f>6+6+14+7</f>
        <v>33</v>
      </c>
      <c r="G419" s="17">
        <f>1+2+1</f>
        <v>4</v>
      </c>
      <c r="H419" s="17">
        <f>26+30+89+22</f>
        <v>167</v>
      </c>
      <c r="I419" s="16">
        <f>H419/(F419-G419)</f>
        <v>5.7586206896551726</v>
      </c>
      <c r="J419" s="17">
        <v>19</v>
      </c>
      <c r="K419" s="25">
        <f>11+6+15+8</f>
        <v>40</v>
      </c>
      <c r="L419" s="25">
        <f>2+3+4+2</f>
        <v>11</v>
      </c>
      <c r="M419" s="25">
        <f>28+11+54+23</f>
        <v>116</v>
      </c>
      <c r="N419" s="24">
        <f>M419/L419</f>
        <v>10.545454545454545</v>
      </c>
      <c r="O419" s="23"/>
    </row>
    <row r="420" spans="1:15" s="54" customFormat="1" x14ac:dyDescent="0.2">
      <c r="A420" s="4"/>
      <c r="B420" s="35" t="s">
        <v>698</v>
      </c>
      <c r="C420" s="2" t="s">
        <v>115</v>
      </c>
      <c r="D420" s="7">
        <v>5</v>
      </c>
      <c r="E420" s="7"/>
      <c r="F420" s="17">
        <f>19+12</f>
        <v>31</v>
      </c>
      <c r="G420" s="17">
        <v>1</v>
      </c>
      <c r="H420" s="17">
        <f>679+271</f>
        <v>950</v>
      </c>
      <c r="I420" s="16">
        <f>H420/(F420-G420)</f>
        <v>31.666666666666668</v>
      </c>
      <c r="J420" s="17" t="s">
        <v>413</v>
      </c>
      <c r="K420" s="25">
        <f>139+67</f>
        <v>206</v>
      </c>
      <c r="L420" s="25">
        <f>26+9</f>
        <v>35</v>
      </c>
      <c r="M420" s="25">
        <f>407+299</f>
        <v>706</v>
      </c>
      <c r="N420" s="24">
        <f>M420/L420</f>
        <v>20.171428571428571</v>
      </c>
      <c r="O420" s="23"/>
    </row>
    <row r="421" spans="1:15" x14ac:dyDescent="0.2">
      <c r="A421" s="4"/>
      <c r="B421" s="35" t="s">
        <v>699</v>
      </c>
      <c r="C421" s="2" t="s">
        <v>88</v>
      </c>
      <c r="D421" s="7">
        <f>8+5+1</f>
        <v>14</v>
      </c>
      <c r="E421" s="7"/>
      <c r="F421" s="17">
        <f>17+6+8+1+7</f>
        <v>39</v>
      </c>
      <c r="G421" s="17">
        <f>2+1+2+1</f>
        <v>6</v>
      </c>
      <c r="H421" s="17">
        <f>58+44+40+8+40</f>
        <v>190</v>
      </c>
      <c r="I421" s="16">
        <f>H421/(F421-G421)</f>
        <v>5.7575757575757578</v>
      </c>
      <c r="J421" s="17">
        <v>20</v>
      </c>
      <c r="K421" s="25">
        <f>187+100+84+71</f>
        <v>442</v>
      </c>
      <c r="L421" s="25">
        <f>26+21+13+8</f>
        <v>68</v>
      </c>
      <c r="M421" s="25">
        <f>633+244+341+199</f>
        <v>1417</v>
      </c>
      <c r="N421" s="24">
        <f>M421/L421</f>
        <v>20.838235294117649</v>
      </c>
      <c r="O421" s="23"/>
    </row>
    <row r="422" spans="1:15" s="5" customFormat="1" x14ac:dyDescent="0.2">
      <c r="A422" s="4"/>
      <c r="B422" s="35" t="s">
        <v>700</v>
      </c>
      <c r="C422" s="2" t="s">
        <v>169</v>
      </c>
      <c r="D422" s="7">
        <v>1</v>
      </c>
      <c r="E422" s="7"/>
      <c r="F422" s="17">
        <v>3</v>
      </c>
      <c r="G422" s="17">
        <v>0</v>
      </c>
      <c r="H422" s="17">
        <v>50</v>
      </c>
      <c r="I422" s="16">
        <f>H422/(F422-G422)</f>
        <v>16.666666666666668</v>
      </c>
      <c r="J422" s="17">
        <v>26</v>
      </c>
      <c r="K422" s="25">
        <v>3</v>
      </c>
      <c r="L422" s="25">
        <v>0</v>
      </c>
      <c r="M422" s="25">
        <v>13</v>
      </c>
      <c r="N422" s="24" t="e">
        <f>M422/L422</f>
        <v>#DIV/0!</v>
      </c>
      <c r="O422" s="23"/>
    </row>
    <row r="423" spans="1:15" x14ac:dyDescent="0.2">
      <c r="A423" s="4"/>
      <c r="B423" s="34" t="s">
        <v>704</v>
      </c>
      <c r="C423" s="2" t="s">
        <v>200</v>
      </c>
      <c r="D423" s="7">
        <v>8</v>
      </c>
      <c r="E423" s="7"/>
      <c r="F423" s="17">
        <v>8</v>
      </c>
      <c r="G423" s="17">
        <v>1</v>
      </c>
      <c r="H423" s="17">
        <v>42</v>
      </c>
      <c r="I423" s="16">
        <f>H423/(F423-G423)</f>
        <v>6</v>
      </c>
      <c r="J423" s="17">
        <v>12</v>
      </c>
      <c r="K423" s="25">
        <v>0</v>
      </c>
      <c r="L423" s="25">
        <v>0</v>
      </c>
      <c r="M423" s="25">
        <v>0</v>
      </c>
      <c r="N423" s="24" t="e">
        <f>M423/L423</f>
        <v>#DIV/0!</v>
      </c>
      <c r="O423" s="23"/>
    </row>
    <row r="424" spans="1:15" s="6" customFormat="1" x14ac:dyDescent="0.2">
      <c r="A424" s="4"/>
      <c r="B424" s="35" t="s">
        <v>701</v>
      </c>
      <c r="C424" s="2" t="s">
        <v>12</v>
      </c>
      <c r="D424" s="7">
        <v>3</v>
      </c>
      <c r="E424" s="7"/>
      <c r="F424" s="17">
        <v>20</v>
      </c>
      <c r="G424" s="17">
        <v>2</v>
      </c>
      <c r="H424" s="17">
        <v>22</v>
      </c>
      <c r="I424" s="16">
        <f>H424/(F424-G424)</f>
        <v>1.2222222222222223</v>
      </c>
      <c r="J424" s="17" t="s">
        <v>414</v>
      </c>
      <c r="K424" s="25">
        <v>5</v>
      </c>
      <c r="L424" s="25">
        <v>3</v>
      </c>
      <c r="M424" s="25">
        <v>37</v>
      </c>
      <c r="N424" s="24">
        <f>M424/L424</f>
        <v>12.333333333333334</v>
      </c>
      <c r="O424" s="23"/>
    </row>
    <row r="425" spans="1:15" s="5" customFormat="1" x14ac:dyDescent="0.2">
      <c r="A425" s="4"/>
      <c r="B425" s="35" t="s">
        <v>702</v>
      </c>
      <c r="C425" s="2" t="s">
        <v>176</v>
      </c>
      <c r="D425" s="7">
        <v>8</v>
      </c>
      <c r="E425" s="7"/>
      <c r="F425" s="17">
        <v>24</v>
      </c>
      <c r="G425" s="17">
        <v>10</v>
      </c>
      <c r="H425" s="17">
        <v>155</v>
      </c>
      <c r="I425" s="16">
        <f>H425/(F425-G425)</f>
        <v>11.071428571428571</v>
      </c>
      <c r="J425" s="17">
        <v>25</v>
      </c>
      <c r="K425" s="25">
        <v>58</v>
      </c>
      <c r="L425" s="25">
        <v>10</v>
      </c>
      <c r="M425" s="25">
        <v>148</v>
      </c>
      <c r="N425" s="24">
        <f>M425/L425</f>
        <v>14.8</v>
      </c>
      <c r="O425" s="23"/>
    </row>
    <row r="426" spans="1:15" x14ac:dyDescent="0.2">
      <c r="A426" s="4"/>
      <c r="B426" s="35" t="s">
        <v>703</v>
      </c>
      <c r="C426" s="2" t="s">
        <v>83</v>
      </c>
      <c r="D426" s="7">
        <f>9+4+2</f>
        <v>15</v>
      </c>
      <c r="E426" s="7"/>
      <c r="F426" s="17">
        <f>35+8+9+8+2+5+2+8</f>
        <v>77</v>
      </c>
      <c r="G426" s="17">
        <f>8+1+1+1+3</f>
        <v>14</v>
      </c>
      <c r="H426" s="17">
        <f>238+95+95+43+3+49+11+25</f>
        <v>559</v>
      </c>
      <c r="I426" s="16">
        <f>H426/(F426-G426)</f>
        <v>8.8730158730158735</v>
      </c>
      <c r="J426" s="17" t="s">
        <v>415</v>
      </c>
      <c r="K426" s="25">
        <f>165+54+53+63+3+8+2+4+54</f>
        <v>406</v>
      </c>
      <c r="L426" s="25">
        <f>34+21+12+11+1+2+1+19</f>
        <v>101</v>
      </c>
      <c r="M426" s="25">
        <f>371+124+143+266+19+93+8+19+182</f>
        <v>1225</v>
      </c>
      <c r="N426" s="24">
        <f>M426/L426</f>
        <v>12.128712871287128</v>
      </c>
      <c r="O426" s="23"/>
    </row>
    <row r="427" spans="1:15" s="54" customFormat="1" x14ac:dyDescent="0.2">
      <c r="A427" s="4">
        <v>716046</v>
      </c>
      <c r="B427" s="51" t="s">
        <v>1408</v>
      </c>
      <c r="C427" s="2" t="s">
        <v>101</v>
      </c>
      <c r="D427" s="7">
        <f>1+2</f>
        <v>3</v>
      </c>
      <c r="E427" s="7">
        <f>0+0</f>
        <v>0</v>
      </c>
      <c r="F427" s="17">
        <f>2+5</f>
        <v>7</v>
      </c>
      <c r="G427" s="17">
        <f>0+0</f>
        <v>0</v>
      </c>
      <c r="H427" s="17">
        <f>118+47</f>
        <v>165</v>
      </c>
      <c r="I427" s="16">
        <f>H427/(F427-G427)</f>
        <v>23.571428571428573</v>
      </c>
      <c r="J427" s="17">
        <v>66</v>
      </c>
      <c r="K427" s="25">
        <f>13+41</f>
        <v>54</v>
      </c>
      <c r="L427" s="25">
        <f>2+9</f>
        <v>11</v>
      </c>
      <c r="M427" s="25">
        <f>26+158</f>
        <v>184</v>
      </c>
      <c r="N427" s="24">
        <f>M427/L427</f>
        <v>16.727272727272727</v>
      </c>
      <c r="O427" s="49" t="s">
        <v>1500</v>
      </c>
    </row>
    <row r="428" spans="1:15" x14ac:dyDescent="0.2">
      <c r="A428" s="4">
        <v>681898</v>
      </c>
      <c r="B428" s="34" t="s">
        <v>706</v>
      </c>
      <c r="C428" s="2" t="s">
        <v>93</v>
      </c>
      <c r="D428" s="7">
        <f>1+13+1+2+1+0+1</f>
        <v>19</v>
      </c>
      <c r="E428" s="7">
        <f>0</f>
        <v>0</v>
      </c>
      <c r="F428" s="17">
        <f>2+11+4+6+2+1+1</f>
        <v>27</v>
      </c>
      <c r="G428" s="17">
        <f>2+2+1+1+2+0</f>
        <v>8</v>
      </c>
      <c r="H428" s="17">
        <f>64+183+12+30+9+2+0</f>
        <v>300</v>
      </c>
      <c r="I428" s="16">
        <f>H428/(F428-G428)</f>
        <v>15.789473684210526</v>
      </c>
      <c r="J428" s="17" t="s">
        <v>305</v>
      </c>
      <c r="K428" s="25">
        <f>0+1+2</f>
        <v>3</v>
      </c>
      <c r="L428" s="25">
        <f>0+0+0</f>
        <v>0</v>
      </c>
      <c r="M428" s="25">
        <f>0+4+21</f>
        <v>25</v>
      </c>
      <c r="N428" s="24" t="e">
        <f>M428/L428</f>
        <v>#DIV/0!</v>
      </c>
      <c r="O428" s="49"/>
    </row>
    <row r="429" spans="1:15" s="54" customFormat="1" x14ac:dyDescent="0.2">
      <c r="A429" s="4">
        <v>682241</v>
      </c>
      <c r="B429" s="35" t="s">
        <v>705</v>
      </c>
      <c r="C429" s="2" t="s">
        <v>306</v>
      </c>
      <c r="D429" s="7">
        <f>4+1+6+8+6+3+7+7+6+4+7+1+5+6+8+4+6+4</f>
        <v>93</v>
      </c>
      <c r="E429" s="7">
        <f>0+0</f>
        <v>0</v>
      </c>
      <c r="F429" s="17">
        <f>8+4+7+2+7+1+13+2+7+1+14+18+19+9+10+3+12+14+14+14+12+10</f>
        <v>201</v>
      </c>
      <c r="G429" s="17">
        <f>1+2+1+2+5+1+1+1+5+2+1+0+0+0+1+0+1+2+1+1</f>
        <v>28</v>
      </c>
      <c r="H429" s="17">
        <f>5+34+58+1+61+92+70+12+183+387+429+160+156+70+159+381+316+380+353+119</f>
        <v>3426</v>
      </c>
      <c r="I429" s="16">
        <f>H429/(F429-G429)</f>
        <v>19.803468208092486</v>
      </c>
      <c r="J429" s="17">
        <v>112</v>
      </c>
      <c r="K429" s="25">
        <f>51+63+84+8+87+9+97+5+101+8+128+144+161+44+5+7+17+101+137+84.5+95+32.1+(0.4)</f>
        <v>1469</v>
      </c>
      <c r="L429" s="25">
        <f>11+18+21+2+13+3+18+28+1+35+40+29+9+0+1+2+24+27+17+10+5</f>
        <v>314</v>
      </c>
      <c r="M429" s="25">
        <f>101+119+173+25+205+15+277+34+244+5+324+355+607+208+13+38+46+438+493+406+334+111</f>
        <v>4571</v>
      </c>
      <c r="N429" s="24">
        <f>M429/L429</f>
        <v>14.557324840764331</v>
      </c>
      <c r="O429" s="49" t="s">
        <v>1460</v>
      </c>
    </row>
    <row r="430" spans="1:15" x14ac:dyDescent="0.2">
      <c r="A430" s="4"/>
      <c r="B430" s="35" t="s">
        <v>707</v>
      </c>
      <c r="C430" s="2" t="s">
        <v>135</v>
      </c>
      <c r="D430" s="7">
        <v>4</v>
      </c>
      <c r="E430" s="7"/>
      <c r="F430" s="17">
        <v>22</v>
      </c>
      <c r="G430" s="17">
        <v>3</v>
      </c>
      <c r="H430" s="17">
        <v>61</v>
      </c>
      <c r="I430" s="16">
        <f>H430/(F430-G430)</f>
        <v>3.2105263157894739</v>
      </c>
      <c r="J430" s="17">
        <v>15</v>
      </c>
      <c r="K430" s="25">
        <v>16</v>
      </c>
      <c r="L430" s="25">
        <v>0</v>
      </c>
      <c r="M430" s="25">
        <v>59</v>
      </c>
      <c r="N430" s="24" t="e">
        <f>M430/L430</f>
        <v>#DIV/0!</v>
      </c>
      <c r="O430" s="23"/>
    </row>
    <row r="431" spans="1:15" x14ac:dyDescent="0.2">
      <c r="A431" s="4"/>
      <c r="B431" s="34" t="s">
        <v>708</v>
      </c>
      <c r="C431" s="2" t="s">
        <v>67</v>
      </c>
      <c r="D431" s="7">
        <v>6</v>
      </c>
      <c r="E431" s="7"/>
      <c r="F431" s="17">
        <v>7</v>
      </c>
      <c r="G431" s="17">
        <v>0</v>
      </c>
      <c r="H431" s="17">
        <v>92</v>
      </c>
      <c r="I431" s="16">
        <f>H431/(F431-G431)</f>
        <v>13.142857142857142</v>
      </c>
      <c r="J431" s="17">
        <v>32</v>
      </c>
      <c r="K431" s="25">
        <v>0</v>
      </c>
      <c r="L431" s="25">
        <v>0</v>
      </c>
      <c r="M431" s="25">
        <v>0</v>
      </c>
      <c r="N431" s="24" t="e">
        <f>M431/L431</f>
        <v>#DIV/0!</v>
      </c>
      <c r="O431" s="23"/>
    </row>
    <row r="432" spans="1:15" s="54" customFormat="1" x14ac:dyDescent="0.2">
      <c r="A432" s="4"/>
      <c r="B432" s="34" t="s">
        <v>709</v>
      </c>
      <c r="C432" s="2" t="s">
        <v>188</v>
      </c>
      <c r="D432" s="7">
        <f>0+1+5+4</f>
        <v>10</v>
      </c>
      <c r="E432" s="7"/>
      <c r="F432" s="17">
        <f>12+15+13+12</f>
        <v>52</v>
      </c>
      <c r="G432" s="17">
        <f>1+1+0+1</f>
        <v>3</v>
      </c>
      <c r="H432" s="17">
        <f>75+211+240+256</f>
        <v>782</v>
      </c>
      <c r="I432" s="16">
        <f>H432/(F432-G432)</f>
        <v>15.959183673469388</v>
      </c>
      <c r="J432" s="17">
        <v>85</v>
      </c>
      <c r="K432" s="25">
        <f>54+74+98+93</f>
        <v>319</v>
      </c>
      <c r="L432" s="25">
        <f>7+24+27+22</f>
        <v>80</v>
      </c>
      <c r="M432" s="25">
        <f>65+118+154+209</f>
        <v>546</v>
      </c>
      <c r="N432" s="24">
        <f>M432/L432</f>
        <v>6.8250000000000002</v>
      </c>
      <c r="O432" s="23"/>
    </row>
    <row r="433" spans="1:15" s="54" customFormat="1" x14ac:dyDescent="0.2">
      <c r="A433" s="4"/>
      <c r="B433" s="35" t="s">
        <v>710</v>
      </c>
      <c r="C433" s="2" t="s">
        <v>12</v>
      </c>
      <c r="D433" s="7">
        <v>17</v>
      </c>
      <c r="E433" s="7"/>
      <c r="F433" s="17">
        <v>50</v>
      </c>
      <c r="G433" s="17">
        <v>6</v>
      </c>
      <c r="H433" s="17">
        <v>1088</v>
      </c>
      <c r="I433" s="16">
        <f>H433/(F433-G433)</f>
        <v>24.727272727272727</v>
      </c>
      <c r="J433" s="17">
        <v>106</v>
      </c>
      <c r="K433" s="25">
        <v>727.3</v>
      </c>
      <c r="L433" s="25">
        <v>77</v>
      </c>
      <c r="M433" s="25">
        <v>1498</v>
      </c>
      <c r="N433" s="24">
        <f>M433/L433</f>
        <v>19.454545454545453</v>
      </c>
      <c r="O433" s="23"/>
    </row>
    <row r="434" spans="1:15" x14ac:dyDescent="0.2">
      <c r="A434" s="4"/>
      <c r="B434" s="35" t="s">
        <v>711</v>
      </c>
      <c r="C434" s="2" t="s">
        <v>65</v>
      </c>
      <c r="D434" s="7">
        <v>8</v>
      </c>
      <c r="E434" s="7"/>
      <c r="F434" s="17">
        <v>10</v>
      </c>
      <c r="G434" s="17">
        <v>2</v>
      </c>
      <c r="H434" s="17">
        <v>174</v>
      </c>
      <c r="I434" s="16">
        <f>H434/(F434-G434)</f>
        <v>21.75</v>
      </c>
      <c r="J434" s="17">
        <v>54</v>
      </c>
      <c r="K434" s="25">
        <v>121</v>
      </c>
      <c r="L434" s="25">
        <v>17</v>
      </c>
      <c r="M434" s="25">
        <v>264</v>
      </c>
      <c r="N434" s="24">
        <f>M434/L434</f>
        <v>15.529411764705882</v>
      </c>
      <c r="O434" s="23"/>
    </row>
    <row r="435" spans="1:15" s="54" customFormat="1" x14ac:dyDescent="0.2">
      <c r="A435" s="4"/>
      <c r="B435" s="35" t="s">
        <v>712</v>
      </c>
      <c r="C435" s="2" t="s">
        <v>157</v>
      </c>
      <c r="D435" s="7">
        <v>41</v>
      </c>
      <c r="E435" s="7"/>
      <c r="F435" s="17">
        <v>84</v>
      </c>
      <c r="G435" s="17">
        <v>7</v>
      </c>
      <c r="H435" s="17">
        <v>1518</v>
      </c>
      <c r="I435" s="16">
        <f>H435/(F435-G435)</f>
        <v>19.714285714285715</v>
      </c>
      <c r="J435" s="17">
        <v>103</v>
      </c>
      <c r="K435" s="25">
        <v>788</v>
      </c>
      <c r="L435" s="25">
        <v>120</v>
      </c>
      <c r="M435" s="25">
        <v>2147</v>
      </c>
      <c r="N435" s="24">
        <f>M435/L435</f>
        <v>17.891666666666666</v>
      </c>
      <c r="O435" s="23"/>
    </row>
    <row r="436" spans="1:15" s="54" customFormat="1" x14ac:dyDescent="0.2">
      <c r="A436" s="4"/>
      <c r="B436" s="35" t="s">
        <v>713</v>
      </c>
      <c r="C436" s="2" t="s">
        <v>75</v>
      </c>
      <c r="D436" s="7"/>
      <c r="E436" s="7"/>
      <c r="F436" s="17">
        <v>27</v>
      </c>
      <c r="G436" s="17">
        <v>1</v>
      </c>
      <c r="H436" s="17">
        <v>75</v>
      </c>
      <c r="I436" s="16">
        <f>H436/(F436-G436)</f>
        <v>2.8846153846153846</v>
      </c>
      <c r="J436" s="17">
        <v>12</v>
      </c>
      <c r="K436" s="25">
        <v>9</v>
      </c>
      <c r="L436" s="25">
        <v>0</v>
      </c>
      <c r="M436" s="25">
        <v>81</v>
      </c>
      <c r="N436" s="24" t="e">
        <f>M436/L436</f>
        <v>#DIV/0!</v>
      </c>
      <c r="O436" s="23"/>
    </row>
    <row r="437" spans="1:15" s="54" customFormat="1" x14ac:dyDescent="0.2">
      <c r="A437" s="84">
        <v>152626</v>
      </c>
      <c r="B437" s="85" t="s">
        <v>1539</v>
      </c>
      <c r="C437" s="2" t="s">
        <v>118</v>
      </c>
      <c r="D437" s="7">
        <f>6+2+1+1+2+1</f>
        <v>13</v>
      </c>
      <c r="E437" s="7">
        <f>0+0+0+1+0</f>
        <v>1</v>
      </c>
      <c r="F437" s="17">
        <f>12+12+15+11+6</f>
        <v>56</v>
      </c>
      <c r="G437" s="17">
        <f>3+3+3+0+1</f>
        <v>10</v>
      </c>
      <c r="H437" s="17">
        <f>217+202+262+143+94</f>
        <v>918</v>
      </c>
      <c r="I437" s="16">
        <f>H437/(F437-G437)</f>
        <v>19.956521739130434</v>
      </c>
      <c r="J437" s="17" t="s">
        <v>2011</v>
      </c>
      <c r="K437" s="25">
        <f>1.5+1+1</f>
        <v>3.5</v>
      </c>
      <c r="L437" s="25">
        <f>1+0+0</f>
        <v>1</v>
      </c>
      <c r="M437" s="25">
        <f>38+5+13</f>
        <v>56</v>
      </c>
      <c r="N437" s="24">
        <f>M437/L437</f>
        <v>56</v>
      </c>
      <c r="O437" s="49" t="s">
        <v>1631</v>
      </c>
    </row>
    <row r="438" spans="1:15" s="54" customFormat="1" x14ac:dyDescent="0.2">
      <c r="A438" s="4">
        <v>877970</v>
      </c>
      <c r="B438" s="34" t="s">
        <v>1338</v>
      </c>
      <c r="C438" s="4" t="s">
        <v>1501</v>
      </c>
      <c r="D438" s="7">
        <f>6+3+3+2+0</f>
        <v>14</v>
      </c>
      <c r="E438" s="7">
        <f>0+0+0+0</f>
        <v>0</v>
      </c>
      <c r="F438" s="17">
        <f>7+13+7+5</f>
        <v>32</v>
      </c>
      <c r="G438" s="17">
        <f>1+0+1+1</f>
        <v>3</v>
      </c>
      <c r="H438" s="17">
        <f>142+363+120+13</f>
        <v>638</v>
      </c>
      <c r="I438" s="16">
        <f>H438/(F438-G438)</f>
        <v>22</v>
      </c>
      <c r="J438" s="17">
        <v>113</v>
      </c>
      <c r="K438" s="25">
        <f>95+98.3+85.5+(0.4)+35</f>
        <v>314.2</v>
      </c>
      <c r="L438" s="25">
        <f>18+15+16+9</f>
        <v>58</v>
      </c>
      <c r="M438" s="25">
        <f>216+241+232+127</f>
        <v>816</v>
      </c>
      <c r="N438" s="24">
        <f>M438/L438</f>
        <v>14.068965517241379</v>
      </c>
      <c r="O438" s="49" t="s">
        <v>1366</v>
      </c>
    </row>
    <row r="439" spans="1:15" s="54" customFormat="1" x14ac:dyDescent="0.2">
      <c r="A439" s="4">
        <v>743856</v>
      </c>
      <c r="B439" s="35" t="s">
        <v>714</v>
      </c>
      <c r="C439" s="2" t="s">
        <v>57</v>
      </c>
      <c r="D439" s="7">
        <f>3+2+14+2</f>
        <v>21</v>
      </c>
      <c r="E439" s="7">
        <f>0+0</f>
        <v>0</v>
      </c>
      <c r="F439" s="17">
        <f>8+1+7+11+9</f>
        <v>36</v>
      </c>
      <c r="G439" s="17">
        <f>0+2+1+3</f>
        <v>6</v>
      </c>
      <c r="H439" s="17">
        <f>1+486+206+154+122</f>
        <v>969</v>
      </c>
      <c r="I439" s="16">
        <f>H439/(F439-G439)</f>
        <v>32.299999999999997</v>
      </c>
      <c r="J439" s="17" t="s">
        <v>332</v>
      </c>
      <c r="K439" s="25">
        <f>24+4+1.2+1</f>
        <v>30.2</v>
      </c>
      <c r="L439" s="25">
        <f>5+1+0</f>
        <v>6</v>
      </c>
      <c r="M439" s="25">
        <f>96+17+0+6</f>
        <v>119</v>
      </c>
      <c r="N439" s="24">
        <f>M439/L439</f>
        <v>19.833333333333332</v>
      </c>
      <c r="O439" s="49" t="s">
        <v>1367</v>
      </c>
    </row>
    <row r="440" spans="1:15" s="54" customFormat="1" x14ac:dyDescent="0.2">
      <c r="A440" s="4"/>
      <c r="B440" s="35" t="s">
        <v>715</v>
      </c>
      <c r="C440" s="2" t="s">
        <v>9</v>
      </c>
      <c r="D440" s="7">
        <v>11</v>
      </c>
      <c r="E440" s="7"/>
      <c r="F440" s="17">
        <v>40</v>
      </c>
      <c r="G440" s="17">
        <v>11</v>
      </c>
      <c r="H440" s="17">
        <v>208</v>
      </c>
      <c r="I440" s="16">
        <f>H440/(F440-G440)</f>
        <v>7.1724137931034484</v>
      </c>
      <c r="J440" s="17">
        <v>32</v>
      </c>
      <c r="K440" s="25">
        <v>137</v>
      </c>
      <c r="L440" s="25">
        <v>15</v>
      </c>
      <c r="M440" s="25">
        <v>414</v>
      </c>
      <c r="N440" s="24">
        <f>M440/L440</f>
        <v>27.6</v>
      </c>
      <c r="O440" s="23"/>
    </row>
    <row r="441" spans="1:15" s="5" customFormat="1" x14ac:dyDescent="0.2">
      <c r="A441" s="4"/>
      <c r="B441" s="35" t="s">
        <v>716</v>
      </c>
      <c r="C441" s="2" t="s">
        <v>12</v>
      </c>
      <c r="D441" s="7"/>
      <c r="E441" s="7"/>
      <c r="F441" s="17">
        <v>4</v>
      </c>
      <c r="G441" s="17">
        <v>2</v>
      </c>
      <c r="H441" s="17">
        <v>12</v>
      </c>
      <c r="I441" s="16">
        <f>H441/(F441-G441)</f>
        <v>6</v>
      </c>
      <c r="J441" s="17">
        <v>10</v>
      </c>
      <c r="K441" s="25">
        <v>67</v>
      </c>
      <c r="L441" s="25">
        <v>10</v>
      </c>
      <c r="M441" s="25">
        <v>274</v>
      </c>
      <c r="N441" s="24">
        <f>M441/L441</f>
        <v>27.4</v>
      </c>
      <c r="O441" s="23"/>
    </row>
    <row r="442" spans="1:15" s="54" customFormat="1" x14ac:dyDescent="0.2">
      <c r="A442" s="4"/>
      <c r="B442" s="35" t="s">
        <v>717</v>
      </c>
      <c r="C442" s="2" t="s">
        <v>8</v>
      </c>
      <c r="D442" s="7">
        <v>7</v>
      </c>
      <c r="E442" s="7"/>
      <c r="F442" s="17">
        <v>19</v>
      </c>
      <c r="G442" s="17">
        <v>2</v>
      </c>
      <c r="H442" s="17">
        <v>332</v>
      </c>
      <c r="I442" s="16">
        <f>H442/(F442-G442)</f>
        <v>19.529411764705884</v>
      </c>
      <c r="J442" s="17" t="s">
        <v>416</v>
      </c>
      <c r="K442" s="25">
        <v>6</v>
      </c>
      <c r="L442" s="25">
        <v>0</v>
      </c>
      <c r="M442" s="25">
        <v>21</v>
      </c>
      <c r="N442" s="24" t="e">
        <f>M442/L442</f>
        <v>#DIV/0!</v>
      </c>
      <c r="O442" s="23"/>
    </row>
    <row r="443" spans="1:15" s="6" customFormat="1" x14ac:dyDescent="0.2">
      <c r="A443" s="84">
        <v>1441080</v>
      </c>
      <c r="B443" s="85" t="s">
        <v>1540</v>
      </c>
      <c r="C443" s="2" t="s">
        <v>1541</v>
      </c>
      <c r="D443" s="7">
        <f>0</f>
        <v>0</v>
      </c>
      <c r="E443" s="7">
        <f>0</f>
        <v>0</v>
      </c>
      <c r="F443" s="17">
        <f>4</f>
        <v>4</v>
      </c>
      <c r="G443" s="17">
        <f>1</f>
        <v>1</v>
      </c>
      <c r="H443" s="17">
        <f>53</f>
        <v>53</v>
      </c>
      <c r="I443" s="16">
        <f>H443/(F443-G443)</f>
        <v>17.666666666666668</v>
      </c>
      <c r="J443" s="17" t="s">
        <v>371</v>
      </c>
      <c r="K443" s="25">
        <f>3</f>
        <v>3</v>
      </c>
      <c r="L443" s="25">
        <f>0</f>
        <v>0</v>
      </c>
      <c r="M443" s="25">
        <f>21</f>
        <v>21</v>
      </c>
      <c r="N443" s="24" t="e">
        <f>M443/L443</f>
        <v>#DIV/0!</v>
      </c>
      <c r="O443" s="49" t="s">
        <v>1632</v>
      </c>
    </row>
    <row r="444" spans="1:15" x14ac:dyDescent="0.2">
      <c r="A444" s="4"/>
      <c r="B444" s="35" t="s">
        <v>718</v>
      </c>
      <c r="C444" s="2" t="s">
        <v>10</v>
      </c>
      <c r="D444" s="7">
        <v>14</v>
      </c>
      <c r="E444" s="7"/>
      <c r="F444" s="17">
        <v>60</v>
      </c>
      <c r="G444" s="17">
        <v>16</v>
      </c>
      <c r="H444" s="17">
        <v>619</v>
      </c>
      <c r="I444" s="16">
        <f>H444/(F444-G444)</f>
        <v>14.068181818181818</v>
      </c>
      <c r="J444" s="17">
        <v>66</v>
      </c>
      <c r="K444" s="25">
        <v>283</v>
      </c>
      <c r="L444" s="25">
        <v>33</v>
      </c>
      <c r="M444" s="25">
        <v>614</v>
      </c>
      <c r="N444" s="24">
        <f>M444/L444</f>
        <v>18.606060606060606</v>
      </c>
      <c r="O444" s="23"/>
    </row>
    <row r="445" spans="1:15" s="54" customFormat="1" x14ac:dyDescent="0.2">
      <c r="A445" s="4"/>
      <c r="B445" s="35" t="s">
        <v>719</v>
      </c>
      <c r="C445" s="2" t="s">
        <v>88</v>
      </c>
      <c r="D445" s="7">
        <f>12+5+6+8+10+1+5+1+1+1+3+3</f>
        <v>56</v>
      </c>
      <c r="E445" s="7"/>
      <c r="F445" s="17">
        <f>66+9+10+11+1+16+2+10+7+1+1+7+9+11+13</f>
        <v>174</v>
      </c>
      <c r="G445" s="17">
        <f>14+2+2+1+1+1+2+0</f>
        <v>23</v>
      </c>
      <c r="H445" s="17">
        <f>388+184+314+434+14+273+85+130+199+6+4+236+294+201+172</f>
        <v>2934</v>
      </c>
      <c r="I445" s="16">
        <f>H445/(F445-G445)</f>
        <v>19.430463576158939</v>
      </c>
      <c r="J445" s="17">
        <v>104</v>
      </c>
      <c r="K445" s="25">
        <f>238+32+61+47+12+110+23+71+75+4+17+7</f>
        <v>697</v>
      </c>
      <c r="L445" s="25">
        <f>43+5+10+10+2+22+2+14+13+3+2</f>
        <v>126</v>
      </c>
      <c r="M445" s="25">
        <f>540+102+161+191+17+261+31+218+275+29+94+47</f>
        <v>1966</v>
      </c>
      <c r="N445" s="24">
        <f>M445/L445</f>
        <v>15.603174603174603</v>
      </c>
      <c r="O445" s="23"/>
    </row>
    <row r="446" spans="1:15" s="5" customFormat="1" x14ac:dyDescent="0.2">
      <c r="A446" s="4"/>
      <c r="B446" s="35" t="s">
        <v>720</v>
      </c>
      <c r="C446" s="2" t="s">
        <v>14</v>
      </c>
      <c r="D446" s="7">
        <v>4</v>
      </c>
      <c r="E446" s="7"/>
      <c r="F446" s="17">
        <v>5</v>
      </c>
      <c r="G446" s="17">
        <v>1</v>
      </c>
      <c r="H446" s="17">
        <v>149</v>
      </c>
      <c r="I446" s="16">
        <f>H446/(F446-G446)</f>
        <v>37.25</v>
      </c>
      <c r="J446" s="17" t="s">
        <v>398</v>
      </c>
      <c r="K446" s="25">
        <v>25</v>
      </c>
      <c r="L446" s="25">
        <v>5</v>
      </c>
      <c r="M446" s="25">
        <v>95</v>
      </c>
      <c r="N446" s="24">
        <f>M446/L446</f>
        <v>19</v>
      </c>
      <c r="O446" s="23"/>
    </row>
    <row r="447" spans="1:15" s="5" customFormat="1" x14ac:dyDescent="0.2">
      <c r="A447" s="57"/>
      <c r="B447" s="65" t="s">
        <v>2751</v>
      </c>
      <c r="C447" s="58" t="s">
        <v>2752</v>
      </c>
      <c r="D447" s="59">
        <v>1</v>
      </c>
      <c r="E447" s="59"/>
      <c r="F447" s="60">
        <v>6</v>
      </c>
      <c r="G447" s="60">
        <v>0</v>
      </c>
      <c r="H447" s="60">
        <v>72</v>
      </c>
      <c r="I447" s="61">
        <f>H447/(F447-G447)</f>
        <v>12</v>
      </c>
      <c r="J447" s="60">
        <v>34</v>
      </c>
      <c r="K447" s="62">
        <v>3</v>
      </c>
      <c r="L447" s="62">
        <v>3</v>
      </c>
      <c r="M447" s="62">
        <v>9</v>
      </c>
      <c r="N447" s="63">
        <f>M447/L447</f>
        <v>3</v>
      </c>
      <c r="O447" s="66" t="s">
        <v>1353</v>
      </c>
    </row>
    <row r="448" spans="1:15" s="54" customFormat="1" x14ac:dyDescent="0.2">
      <c r="A448" s="4">
        <v>899003</v>
      </c>
      <c r="B448" s="34" t="s">
        <v>1331</v>
      </c>
      <c r="C448" s="2"/>
      <c r="D448" s="7">
        <f>1</f>
        <v>1</v>
      </c>
      <c r="E448" s="7">
        <f>0</f>
        <v>0</v>
      </c>
      <c r="F448" s="17">
        <f>8</f>
        <v>8</v>
      </c>
      <c r="G448" s="17">
        <f>0</f>
        <v>0</v>
      </c>
      <c r="H448" s="17">
        <f>30</f>
        <v>30</v>
      </c>
      <c r="I448" s="16">
        <f>H448/(F448-G448)</f>
        <v>3.75</v>
      </c>
      <c r="J448" s="17">
        <v>13</v>
      </c>
      <c r="K448" s="25">
        <f>2</f>
        <v>2</v>
      </c>
      <c r="L448" s="25">
        <f>0</f>
        <v>0</v>
      </c>
      <c r="M448" s="25">
        <f>10</f>
        <v>10</v>
      </c>
      <c r="N448" s="25" t="e">
        <f>M448/L448</f>
        <v>#DIV/0!</v>
      </c>
      <c r="O448" s="49" t="s">
        <v>1368</v>
      </c>
    </row>
    <row r="449" spans="1:15" x14ac:dyDescent="0.2">
      <c r="A449" s="4">
        <v>1236543</v>
      </c>
      <c r="B449" s="34" t="s">
        <v>2583</v>
      </c>
      <c r="C449" s="2" t="s">
        <v>2086</v>
      </c>
      <c r="D449" s="7">
        <v>0</v>
      </c>
      <c r="E449" s="7">
        <v>0</v>
      </c>
      <c r="F449" s="17">
        <v>5</v>
      </c>
      <c r="G449" s="17">
        <v>0</v>
      </c>
      <c r="H449" s="17">
        <v>64</v>
      </c>
      <c r="I449" s="16">
        <f>H449/(F449-G449)</f>
        <v>12.8</v>
      </c>
      <c r="J449" s="17">
        <v>28</v>
      </c>
      <c r="K449" s="25">
        <v>27.4</v>
      </c>
      <c r="L449" s="25">
        <v>5</v>
      </c>
      <c r="M449" s="25">
        <v>128</v>
      </c>
      <c r="N449" s="25">
        <f>M449/L449</f>
        <v>25.6</v>
      </c>
      <c r="O449" s="49" t="s">
        <v>2584</v>
      </c>
    </row>
    <row r="450" spans="1:15" s="5" customFormat="1" x14ac:dyDescent="0.2">
      <c r="A450" s="4">
        <v>1757394</v>
      </c>
      <c r="B450" s="35" t="s">
        <v>1853</v>
      </c>
      <c r="C450" s="2" t="s">
        <v>1854</v>
      </c>
      <c r="D450" s="7">
        <f>1+0+0+3</f>
        <v>4</v>
      </c>
      <c r="E450" s="7">
        <f>0+0</f>
        <v>0</v>
      </c>
      <c r="F450" s="17">
        <f>9+10+12+11</f>
        <v>42</v>
      </c>
      <c r="G450" s="17">
        <f>2+1+3+2</f>
        <v>8</v>
      </c>
      <c r="H450" s="17">
        <f>55+102+48+56</f>
        <v>261</v>
      </c>
      <c r="I450" s="16">
        <f>H450/(F450-G450)</f>
        <v>7.6764705882352944</v>
      </c>
      <c r="J450" s="17">
        <v>53</v>
      </c>
      <c r="K450" s="25">
        <f>16+13+29+43</f>
        <v>101</v>
      </c>
      <c r="L450" s="25">
        <f>5+4+6+4</f>
        <v>19</v>
      </c>
      <c r="M450" s="25">
        <f>31+57+126+175</f>
        <v>389</v>
      </c>
      <c r="N450" s="24">
        <f>M450/L450</f>
        <v>20.473684210526315</v>
      </c>
      <c r="O450" s="49" t="s">
        <v>1800</v>
      </c>
    </row>
    <row r="451" spans="1:15" s="5" customFormat="1" x14ac:dyDescent="0.2">
      <c r="A451" s="4"/>
      <c r="B451" s="92" t="s">
        <v>721</v>
      </c>
      <c r="C451" s="2" t="s">
        <v>13</v>
      </c>
      <c r="D451" s="7">
        <v>8</v>
      </c>
      <c r="E451" s="7"/>
      <c r="F451" s="17">
        <v>37</v>
      </c>
      <c r="G451" s="17">
        <v>4</v>
      </c>
      <c r="H451" s="17">
        <v>475</v>
      </c>
      <c r="I451" s="16">
        <f>H451/(F451-G451)</f>
        <v>14.393939393939394</v>
      </c>
      <c r="J451" s="17">
        <v>70</v>
      </c>
      <c r="K451" s="25">
        <v>132</v>
      </c>
      <c r="L451" s="25">
        <v>21</v>
      </c>
      <c r="M451" s="25">
        <v>457</v>
      </c>
      <c r="N451" s="24">
        <f>M451/L451</f>
        <v>21.761904761904763</v>
      </c>
      <c r="O451" s="23"/>
    </row>
    <row r="452" spans="1:15" x14ac:dyDescent="0.2">
      <c r="A452" s="84">
        <v>1759368</v>
      </c>
      <c r="B452" s="35" t="s">
        <v>1855</v>
      </c>
      <c r="C452" s="2" t="s">
        <v>1856</v>
      </c>
      <c r="D452" s="7">
        <f>5+0+2+2</f>
        <v>9</v>
      </c>
      <c r="E452" s="7">
        <f>1</f>
        <v>1</v>
      </c>
      <c r="F452" s="17">
        <f>6+5</f>
        <v>11</v>
      </c>
      <c r="G452" s="17">
        <f>0+1</f>
        <v>1</v>
      </c>
      <c r="H452" s="17">
        <f>30+26</f>
        <v>56</v>
      </c>
      <c r="I452" s="16">
        <f>H452/(F452-G452)</f>
        <v>5.6</v>
      </c>
      <c r="J452" s="17">
        <v>14</v>
      </c>
      <c r="K452" s="25"/>
      <c r="L452" s="25"/>
      <c r="M452" s="25"/>
      <c r="N452" s="24" t="e">
        <f>M452/L452</f>
        <v>#DIV/0!</v>
      </c>
      <c r="O452" s="23"/>
    </row>
    <row r="453" spans="1:15" x14ac:dyDescent="0.2">
      <c r="A453" s="4">
        <v>1245677</v>
      </c>
      <c r="B453" s="35" t="s">
        <v>2329</v>
      </c>
      <c r="C453" s="2" t="s">
        <v>151</v>
      </c>
      <c r="D453" s="7">
        <f>1</f>
        <v>1</v>
      </c>
      <c r="E453" s="7">
        <f>0</f>
        <v>0</v>
      </c>
      <c r="F453" s="17">
        <f>6</f>
        <v>6</v>
      </c>
      <c r="G453" s="17">
        <f>2</f>
        <v>2</v>
      </c>
      <c r="H453" s="17">
        <f>54</f>
        <v>54</v>
      </c>
      <c r="I453" s="16">
        <f>H453/(F453-G453)</f>
        <v>13.5</v>
      </c>
      <c r="J453" s="17">
        <v>50</v>
      </c>
      <c r="K453" s="25">
        <f>50</f>
        <v>50</v>
      </c>
      <c r="L453" s="25">
        <f>10</f>
        <v>10</v>
      </c>
      <c r="M453" s="25">
        <f>162</f>
        <v>162</v>
      </c>
      <c r="N453" s="24">
        <f>M453/L453</f>
        <v>16.2</v>
      </c>
      <c r="O453" s="49" t="s">
        <v>2023</v>
      </c>
    </row>
    <row r="454" spans="1:15" s="54" customFormat="1" x14ac:dyDescent="0.2">
      <c r="A454" s="4">
        <v>1244693</v>
      </c>
      <c r="B454" s="35" t="s">
        <v>2090</v>
      </c>
      <c r="C454" s="2" t="s">
        <v>2091</v>
      </c>
      <c r="D454" s="7">
        <f>1</f>
        <v>1</v>
      </c>
      <c r="E454" s="7"/>
      <c r="F454" s="17">
        <f>11</f>
        <v>11</v>
      </c>
      <c r="G454" s="17">
        <f>0</f>
        <v>0</v>
      </c>
      <c r="H454" s="17">
        <f>66</f>
        <v>66</v>
      </c>
      <c r="I454" s="16">
        <f>H454/(F454-G454)</f>
        <v>6</v>
      </c>
      <c r="J454" s="17">
        <f>18</f>
        <v>18</v>
      </c>
      <c r="K454" s="25">
        <f>40</f>
        <v>40</v>
      </c>
      <c r="L454" s="25">
        <f>8</f>
        <v>8</v>
      </c>
      <c r="M454" s="25">
        <f>109</f>
        <v>109</v>
      </c>
      <c r="N454" s="24">
        <f>M454/L454</f>
        <v>13.625</v>
      </c>
      <c r="O454" s="49" t="s">
        <v>1392</v>
      </c>
    </row>
    <row r="455" spans="1:15" s="6" customFormat="1" x14ac:dyDescent="0.2">
      <c r="A455" s="4"/>
      <c r="B455" s="35" t="s">
        <v>722</v>
      </c>
      <c r="C455" s="2" t="s">
        <v>19</v>
      </c>
      <c r="D455" s="7">
        <v>0</v>
      </c>
      <c r="E455" s="7"/>
      <c r="F455" s="17">
        <f>2+1</f>
        <v>3</v>
      </c>
      <c r="G455" s="17">
        <v>1</v>
      </c>
      <c r="H455" s="17">
        <f>17+41</f>
        <v>58</v>
      </c>
      <c r="I455" s="16">
        <f>H455/(F455-G455)</f>
        <v>29</v>
      </c>
      <c r="J455" s="17" t="s">
        <v>400</v>
      </c>
      <c r="K455" s="25">
        <f>12+5</f>
        <v>17</v>
      </c>
      <c r="L455" s="25">
        <f>1+1</f>
        <v>2</v>
      </c>
      <c r="M455" s="25">
        <f>62+10</f>
        <v>72</v>
      </c>
      <c r="N455" s="24">
        <f>M455/L455</f>
        <v>36</v>
      </c>
      <c r="O455" s="23"/>
    </row>
    <row r="456" spans="1:15" x14ac:dyDescent="0.2">
      <c r="A456" s="4"/>
      <c r="B456" s="35" t="s">
        <v>723</v>
      </c>
      <c r="C456" s="2" t="s">
        <v>154</v>
      </c>
      <c r="D456" s="7">
        <f>2+0</f>
        <v>2</v>
      </c>
      <c r="E456" s="7"/>
      <c r="F456" s="17">
        <f>9+1+3</f>
        <v>13</v>
      </c>
      <c r="G456" s="17">
        <f>2+0</f>
        <v>2</v>
      </c>
      <c r="H456" s="17">
        <f>11+4</f>
        <v>15</v>
      </c>
      <c r="I456" s="16">
        <f>H456/(F456-G456)</f>
        <v>1.3636363636363635</v>
      </c>
      <c r="J456" s="17">
        <v>6</v>
      </c>
      <c r="K456" s="25">
        <f>28+2+7</f>
        <v>37</v>
      </c>
      <c r="L456" s="25">
        <f>4+1</f>
        <v>5</v>
      </c>
      <c r="M456" s="25">
        <f>81+5+33</f>
        <v>119</v>
      </c>
      <c r="N456" s="24">
        <f>M456/L456</f>
        <v>23.8</v>
      </c>
      <c r="O456" s="23"/>
    </row>
    <row r="457" spans="1:15" s="54" customFormat="1" x14ac:dyDescent="0.2">
      <c r="A457" s="4"/>
      <c r="B457" s="35" t="s">
        <v>724</v>
      </c>
      <c r="C457" s="2" t="s">
        <v>13</v>
      </c>
      <c r="D457" s="7">
        <v>11</v>
      </c>
      <c r="E457" s="7"/>
      <c r="F457" s="17">
        <v>35</v>
      </c>
      <c r="G457" s="17">
        <v>8</v>
      </c>
      <c r="H457" s="17">
        <v>131</v>
      </c>
      <c r="I457" s="16">
        <f>H457/(F457-G457)</f>
        <v>4.8518518518518521</v>
      </c>
      <c r="J457" s="17">
        <v>19</v>
      </c>
      <c r="K457" s="25">
        <v>39</v>
      </c>
      <c r="L457" s="25">
        <v>9</v>
      </c>
      <c r="M457" s="25">
        <v>134</v>
      </c>
      <c r="N457" s="24">
        <f>M457/L457</f>
        <v>14.888888888888889</v>
      </c>
      <c r="O457" s="23"/>
    </row>
    <row r="458" spans="1:15" s="5" customFormat="1" x14ac:dyDescent="0.2">
      <c r="A458" s="4"/>
      <c r="B458" s="35" t="s">
        <v>725</v>
      </c>
      <c r="C458" s="2" t="s">
        <v>75</v>
      </c>
      <c r="D458" s="8">
        <v>14</v>
      </c>
      <c r="E458" s="7">
        <v>1</v>
      </c>
      <c r="F458" s="17">
        <f>11+1+11+11+10</f>
        <v>44</v>
      </c>
      <c r="G458" s="17">
        <f>4+2+1</f>
        <v>7</v>
      </c>
      <c r="H458" s="17">
        <f>109+111+120+115</f>
        <v>455</v>
      </c>
      <c r="I458" s="16">
        <f>H458/(F458-G458)</f>
        <v>12.297297297297296</v>
      </c>
      <c r="J458" s="17">
        <v>41</v>
      </c>
      <c r="K458" s="25">
        <f>61+8+56+88+33</f>
        <v>246</v>
      </c>
      <c r="L458" s="25">
        <f>9+1+7+11+4</f>
        <v>32</v>
      </c>
      <c r="M458" s="25">
        <f>110+1+102+151+122</f>
        <v>486</v>
      </c>
      <c r="N458" s="24">
        <f>M458/L458</f>
        <v>15.1875</v>
      </c>
      <c r="O458" s="23"/>
    </row>
    <row r="459" spans="1:15" s="5" customFormat="1" x14ac:dyDescent="0.2">
      <c r="A459" s="4"/>
      <c r="B459" s="35" t="s">
        <v>726</v>
      </c>
      <c r="C459" s="2" t="s">
        <v>186</v>
      </c>
      <c r="D459" s="7">
        <f>2+1</f>
        <v>3</v>
      </c>
      <c r="E459" s="7"/>
      <c r="F459" s="17">
        <f>11+1</f>
        <v>12</v>
      </c>
      <c r="G459" s="17">
        <v>3</v>
      </c>
      <c r="H459" s="17">
        <f>52+2</f>
        <v>54</v>
      </c>
      <c r="I459" s="16">
        <f>H459/(F459-G459)</f>
        <v>6</v>
      </c>
      <c r="J459" s="17">
        <v>22</v>
      </c>
      <c r="K459" s="25">
        <f>60+8</f>
        <v>68</v>
      </c>
      <c r="L459" s="25">
        <v>7</v>
      </c>
      <c r="M459" s="25">
        <f>143+8</f>
        <v>151</v>
      </c>
      <c r="N459" s="24">
        <f>M459/L459</f>
        <v>21.571428571428573</v>
      </c>
      <c r="O459" s="23"/>
    </row>
    <row r="460" spans="1:15" s="54" customFormat="1" x14ac:dyDescent="0.2">
      <c r="A460" s="4"/>
      <c r="B460" s="35" t="s">
        <v>727</v>
      </c>
      <c r="C460" s="2" t="s">
        <v>35</v>
      </c>
      <c r="D460" s="7">
        <f>1+1+1</f>
        <v>3</v>
      </c>
      <c r="E460" s="7"/>
      <c r="F460" s="17">
        <f>11+6+6+2</f>
        <v>25</v>
      </c>
      <c r="G460" s="17">
        <f>3+2+1+1</f>
        <v>7</v>
      </c>
      <c r="H460" s="17">
        <f>7+5+1</f>
        <v>13</v>
      </c>
      <c r="I460" s="16">
        <f>H460/(F460-G460)</f>
        <v>0.72222222222222221</v>
      </c>
      <c r="J460" s="17">
        <v>4</v>
      </c>
      <c r="K460" s="25">
        <f>5+2+2</f>
        <v>9</v>
      </c>
      <c r="L460" s="25">
        <f>2+1</f>
        <v>3</v>
      </c>
      <c r="M460" s="25">
        <f>24+5+3</f>
        <v>32</v>
      </c>
      <c r="N460" s="24">
        <f>M460/L460</f>
        <v>10.666666666666666</v>
      </c>
      <c r="O460" s="23"/>
    </row>
    <row r="461" spans="1:15" s="54" customFormat="1" x14ac:dyDescent="0.2">
      <c r="A461" s="4"/>
      <c r="B461" s="34" t="s">
        <v>729</v>
      </c>
      <c r="C461" s="2" t="s">
        <v>238</v>
      </c>
      <c r="D461" s="7">
        <f>9+1+1</f>
        <v>11</v>
      </c>
      <c r="E461" s="7"/>
      <c r="F461" s="17">
        <f>15+4+12</f>
        <v>31</v>
      </c>
      <c r="G461" s="17">
        <f>0+0+1</f>
        <v>1</v>
      </c>
      <c r="H461" s="17">
        <f>323+144+191</f>
        <v>658</v>
      </c>
      <c r="I461" s="16">
        <f>H461/(F461-G461)</f>
        <v>21.933333333333334</v>
      </c>
      <c r="J461" s="17">
        <v>81</v>
      </c>
      <c r="K461" s="25">
        <f>126+6+41</f>
        <v>173</v>
      </c>
      <c r="L461" s="25">
        <f>34+0+8</f>
        <v>42</v>
      </c>
      <c r="M461" s="25">
        <f>427+45+239</f>
        <v>711</v>
      </c>
      <c r="N461" s="24">
        <f>M461/L461</f>
        <v>16.928571428571427</v>
      </c>
      <c r="O461" s="23"/>
    </row>
    <row r="462" spans="1:15" s="54" customFormat="1" x14ac:dyDescent="0.2">
      <c r="A462" s="4"/>
      <c r="B462" s="35" t="s">
        <v>728</v>
      </c>
      <c r="C462" s="2" t="s">
        <v>93</v>
      </c>
      <c r="D462" s="7">
        <f>8+9+4</f>
        <v>21</v>
      </c>
      <c r="E462" s="7"/>
      <c r="F462" s="17">
        <f>18+12+13+13</f>
        <v>56</v>
      </c>
      <c r="G462" s="17">
        <f>2+1+1+1</f>
        <v>5</v>
      </c>
      <c r="H462" s="17">
        <f>123+146+327+300</f>
        <v>896</v>
      </c>
      <c r="I462" s="16">
        <f>H462/(F462-G462)</f>
        <v>17.568627450980394</v>
      </c>
      <c r="J462" s="17">
        <v>97</v>
      </c>
      <c r="K462" s="25">
        <f>172+122+91+141</f>
        <v>526</v>
      </c>
      <c r="L462" s="25">
        <f>22+26+17+24</f>
        <v>89</v>
      </c>
      <c r="M462" s="25">
        <f>382+243+247+327</f>
        <v>1199</v>
      </c>
      <c r="N462" s="24">
        <f>M462/L462</f>
        <v>13.47191011235955</v>
      </c>
      <c r="O462" s="23"/>
    </row>
    <row r="463" spans="1:15" x14ac:dyDescent="0.2">
      <c r="A463" s="4">
        <v>666778</v>
      </c>
      <c r="B463" s="51" t="s">
        <v>1492</v>
      </c>
      <c r="C463" s="2" t="s">
        <v>1493</v>
      </c>
      <c r="D463" s="7">
        <f>0</f>
        <v>0</v>
      </c>
      <c r="E463" s="7">
        <f>0</f>
        <v>0</v>
      </c>
      <c r="F463" s="17">
        <f>3</f>
        <v>3</v>
      </c>
      <c r="G463" s="17">
        <f>1</f>
        <v>1</v>
      </c>
      <c r="H463" s="17">
        <f>26</f>
        <v>26</v>
      </c>
      <c r="I463" s="16">
        <f>H463/(F463-G463)</f>
        <v>13</v>
      </c>
      <c r="J463" s="17" t="s">
        <v>447</v>
      </c>
      <c r="K463" s="25">
        <f>14</f>
        <v>14</v>
      </c>
      <c r="L463" s="25">
        <f>2</f>
        <v>2</v>
      </c>
      <c r="M463" s="25">
        <f>38</f>
        <v>38</v>
      </c>
      <c r="N463" s="24">
        <f>M463/L463</f>
        <v>19</v>
      </c>
      <c r="O463" s="49" t="s">
        <v>1799</v>
      </c>
    </row>
    <row r="464" spans="1:15" x14ac:dyDescent="0.2">
      <c r="A464" s="4"/>
      <c r="B464" s="35" t="s">
        <v>730</v>
      </c>
      <c r="C464" s="2" t="s">
        <v>14</v>
      </c>
      <c r="D464" s="7"/>
      <c r="E464" s="7"/>
      <c r="F464" s="17">
        <v>3</v>
      </c>
      <c r="G464" s="17">
        <v>0</v>
      </c>
      <c r="H464" s="17">
        <v>19</v>
      </c>
      <c r="I464" s="16">
        <f>H464/(F464-G464)</f>
        <v>6.333333333333333</v>
      </c>
      <c r="J464" s="17">
        <v>9</v>
      </c>
      <c r="K464" s="25">
        <v>20</v>
      </c>
      <c r="L464" s="25">
        <v>3</v>
      </c>
      <c r="M464" s="25">
        <v>71</v>
      </c>
      <c r="N464" s="24">
        <f>M464/L464</f>
        <v>23.666666666666668</v>
      </c>
      <c r="O464" s="23"/>
    </row>
    <row r="465" spans="1:15" s="6" customFormat="1" x14ac:dyDescent="0.2">
      <c r="A465" s="4"/>
      <c r="B465" s="35" t="s">
        <v>731</v>
      </c>
      <c r="C465" s="2" t="s">
        <v>14</v>
      </c>
      <c r="D465" s="7">
        <v>3</v>
      </c>
      <c r="E465" s="7"/>
      <c r="F465" s="17">
        <v>8</v>
      </c>
      <c r="G465" s="17"/>
      <c r="H465" s="17">
        <v>101</v>
      </c>
      <c r="I465" s="16">
        <f>H465/(F465-G465)</f>
        <v>12.625</v>
      </c>
      <c r="J465" s="17">
        <v>36</v>
      </c>
      <c r="K465" s="25"/>
      <c r="L465" s="25"/>
      <c r="M465" s="25"/>
      <c r="N465" s="24" t="e">
        <f>M465/L465</f>
        <v>#DIV/0!</v>
      </c>
      <c r="O465" s="23"/>
    </row>
    <row r="466" spans="1:15" s="54" customFormat="1" x14ac:dyDescent="0.2">
      <c r="A466" s="4"/>
      <c r="B466" s="35" t="s">
        <v>732</v>
      </c>
      <c r="C466" s="2" t="s">
        <v>16</v>
      </c>
      <c r="D466" s="7">
        <v>1</v>
      </c>
      <c r="E466" s="7"/>
      <c r="F466" s="17">
        <v>13</v>
      </c>
      <c r="G466" s="17"/>
      <c r="H466" s="17">
        <v>48</v>
      </c>
      <c r="I466" s="16">
        <f>H466/(F466-G466)</f>
        <v>3.6923076923076925</v>
      </c>
      <c r="J466" s="17">
        <v>20</v>
      </c>
      <c r="K466" s="25">
        <v>15</v>
      </c>
      <c r="L466" s="25"/>
      <c r="M466" s="25">
        <v>101</v>
      </c>
      <c r="N466" s="24" t="e">
        <f>M466/L466</f>
        <v>#DIV/0!</v>
      </c>
      <c r="O466" s="23"/>
    </row>
    <row r="467" spans="1:15" s="6" customFormat="1" x14ac:dyDescent="0.2">
      <c r="A467" s="4"/>
      <c r="B467" s="35" t="s">
        <v>733</v>
      </c>
      <c r="C467" s="2" t="s">
        <v>94</v>
      </c>
      <c r="D467" s="8">
        <v>25</v>
      </c>
      <c r="E467" s="7">
        <v>1</v>
      </c>
      <c r="F467" s="17">
        <f>31+9+15+9+5</f>
        <v>69</v>
      </c>
      <c r="G467" s="17">
        <f>5+1+1+4+2</f>
        <v>13</v>
      </c>
      <c r="H467" s="17">
        <f>676+73+294+112+89</f>
        <v>1244</v>
      </c>
      <c r="I467" s="16">
        <f>H467/(F467-G467)</f>
        <v>22.214285714285715</v>
      </c>
      <c r="J467" s="17">
        <v>79</v>
      </c>
      <c r="K467" s="25">
        <f>327+54+145+64+29</f>
        <v>619</v>
      </c>
      <c r="L467" s="25">
        <f>66+6+27+1+12+2</f>
        <v>114</v>
      </c>
      <c r="M467" s="25">
        <f>877+197+460+41+168+107</f>
        <v>1850</v>
      </c>
      <c r="N467" s="24">
        <f>M467/L467</f>
        <v>16.228070175438596</v>
      </c>
      <c r="O467" s="23"/>
    </row>
    <row r="468" spans="1:15" s="6" customFormat="1" x14ac:dyDescent="0.2">
      <c r="A468" s="4">
        <v>1048535</v>
      </c>
      <c r="B468" s="35" t="s">
        <v>2092</v>
      </c>
      <c r="C468" s="2" t="s">
        <v>2093</v>
      </c>
      <c r="D468" s="7">
        <f>0</f>
        <v>0</v>
      </c>
      <c r="E468" s="7"/>
      <c r="F468" s="17">
        <f>1</f>
        <v>1</v>
      </c>
      <c r="G468" s="17">
        <f>1</f>
        <v>1</v>
      </c>
      <c r="H468" s="17">
        <f>21</f>
        <v>21</v>
      </c>
      <c r="I468" s="16" t="e">
        <f>H468/(F468-G468)</f>
        <v>#DIV/0!</v>
      </c>
      <c r="J468" s="17" t="s">
        <v>420</v>
      </c>
      <c r="K468" s="25">
        <f>8</f>
        <v>8</v>
      </c>
      <c r="L468" s="25">
        <f>1</f>
        <v>1</v>
      </c>
      <c r="M468" s="25">
        <f>30</f>
        <v>30</v>
      </c>
      <c r="N468" s="24">
        <f>M468/L468</f>
        <v>30</v>
      </c>
      <c r="O468" s="49" t="s">
        <v>2267</v>
      </c>
    </row>
    <row r="469" spans="1:15" s="6" customFormat="1" x14ac:dyDescent="0.2">
      <c r="A469" s="4"/>
      <c r="B469" s="35" t="s">
        <v>734</v>
      </c>
      <c r="C469" s="2" t="s">
        <v>129</v>
      </c>
      <c r="D469" s="8">
        <v>3</v>
      </c>
      <c r="E469" s="7"/>
      <c r="F469" s="17">
        <v>19</v>
      </c>
      <c r="G469" s="17">
        <v>5</v>
      </c>
      <c r="H469" s="17">
        <v>81</v>
      </c>
      <c r="I469" s="16">
        <f>H469/(F469-G469)</f>
        <v>5.7857142857142856</v>
      </c>
      <c r="J469" s="17">
        <v>13</v>
      </c>
      <c r="K469" s="25">
        <v>171</v>
      </c>
      <c r="L469" s="25">
        <v>35</v>
      </c>
      <c r="M469" s="25">
        <v>416</v>
      </c>
      <c r="N469" s="24">
        <f>M469/L469</f>
        <v>11.885714285714286</v>
      </c>
      <c r="O469" s="23"/>
    </row>
    <row r="470" spans="1:15" s="54" customFormat="1" x14ac:dyDescent="0.2">
      <c r="A470" s="64">
        <v>1762796</v>
      </c>
      <c r="B470" s="65" t="s">
        <v>1857</v>
      </c>
      <c r="C470" s="58" t="s">
        <v>1858</v>
      </c>
      <c r="D470" s="59">
        <f>0+2</f>
        <v>2</v>
      </c>
      <c r="E470" s="59">
        <f>0</f>
        <v>0</v>
      </c>
      <c r="F470" s="60">
        <f>1+9+8</f>
        <v>18</v>
      </c>
      <c r="G470" s="60">
        <f>1+2+1</f>
        <v>4</v>
      </c>
      <c r="H470" s="60">
        <f>11+103+19</f>
        <v>133</v>
      </c>
      <c r="I470" s="61">
        <f>H470/(F470-G470)</f>
        <v>9.5</v>
      </c>
      <c r="J470" s="60">
        <v>37</v>
      </c>
      <c r="K470" s="62">
        <f>16+36.2+29</f>
        <v>81.2</v>
      </c>
      <c r="L470" s="62">
        <f>3+8+3</f>
        <v>14</v>
      </c>
      <c r="M470" s="62">
        <f>57+110+102</f>
        <v>269</v>
      </c>
      <c r="N470" s="63">
        <f>M470/L470</f>
        <v>19.214285714285715</v>
      </c>
      <c r="O470" s="66" t="s">
        <v>1617</v>
      </c>
    </row>
    <row r="471" spans="1:15" s="54" customFormat="1" x14ac:dyDescent="0.2">
      <c r="A471" s="4">
        <v>1618276</v>
      </c>
      <c r="B471" s="35" t="s">
        <v>2330</v>
      </c>
      <c r="C471" s="2" t="s">
        <v>91</v>
      </c>
      <c r="D471" s="7">
        <f>0</f>
        <v>0</v>
      </c>
      <c r="E471" s="7">
        <f>0</f>
        <v>0</v>
      </c>
      <c r="F471" s="17"/>
      <c r="G471" s="17"/>
      <c r="H471" s="17"/>
      <c r="I471" s="16" t="e">
        <f>H471/(F471-G471)</f>
        <v>#DIV/0!</v>
      </c>
      <c r="J471" s="17"/>
      <c r="K471" s="25"/>
      <c r="L471" s="25"/>
      <c r="M471" s="25"/>
      <c r="N471" s="24" t="e">
        <f>M471/L471</f>
        <v>#DIV/0!</v>
      </c>
      <c r="O471" s="23"/>
    </row>
    <row r="472" spans="1:15" s="54" customFormat="1" x14ac:dyDescent="0.2">
      <c r="A472" s="57"/>
      <c r="B472" s="65" t="s">
        <v>2742</v>
      </c>
      <c r="C472" s="58" t="s">
        <v>2743</v>
      </c>
      <c r="D472" s="59">
        <v>2</v>
      </c>
      <c r="E472" s="59"/>
      <c r="F472" s="60">
        <v>9</v>
      </c>
      <c r="G472" s="60">
        <v>0</v>
      </c>
      <c r="H472" s="60">
        <v>120</v>
      </c>
      <c r="I472" s="61">
        <f>H472/(F472-G472)</f>
        <v>13.333333333333334</v>
      </c>
      <c r="J472" s="60">
        <v>31</v>
      </c>
      <c r="K472" s="62">
        <v>57</v>
      </c>
      <c r="L472" s="62">
        <v>5</v>
      </c>
      <c r="M472" s="62">
        <v>197</v>
      </c>
      <c r="N472" s="63">
        <f>M472/L472</f>
        <v>39.4</v>
      </c>
      <c r="O472" s="66" t="s">
        <v>1619</v>
      </c>
    </row>
    <row r="473" spans="1:15" x14ac:dyDescent="0.2">
      <c r="A473" s="57">
        <v>2077088</v>
      </c>
      <c r="B473" s="65" t="s">
        <v>2331</v>
      </c>
      <c r="C473" s="58" t="s">
        <v>2332</v>
      </c>
      <c r="D473" s="59">
        <f>0+1+4</f>
        <v>5</v>
      </c>
      <c r="E473" s="59">
        <f>0+0</f>
        <v>0</v>
      </c>
      <c r="F473" s="60">
        <f>15+11+16</f>
        <v>42</v>
      </c>
      <c r="G473" s="60">
        <f>4+9+3</f>
        <v>16</v>
      </c>
      <c r="H473" s="60">
        <f>36+162+398</f>
        <v>596</v>
      </c>
      <c r="I473" s="61">
        <f>H473/(F473-G473)</f>
        <v>22.923076923076923</v>
      </c>
      <c r="J473" s="60">
        <v>67</v>
      </c>
      <c r="K473" s="62">
        <f>47+37+62.5</f>
        <v>146.5</v>
      </c>
      <c r="L473" s="62">
        <f>8+11+19</f>
        <v>38</v>
      </c>
      <c r="M473" s="62">
        <f>226+90+253</f>
        <v>569</v>
      </c>
      <c r="N473" s="63">
        <f>M473/L473</f>
        <v>14.973684210526315</v>
      </c>
      <c r="O473" s="66" t="s">
        <v>1796</v>
      </c>
    </row>
    <row r="474" spans="1:15" x14ac:dyDescent="0.2">
      <c r="A474" s="4">
        <v>2078114</v>
      </c>
      <c r="B474" s="35" t="s">
        <v>2333</v>
      </c>
      <c r="C474" s="2" t="s">
        <v>2321</v>
      </c>
      <c r="D474" s="7">
        <f>1</f>
        <v>1</v>
      </c>
      <c r="E474" s="7">
        <f>0</f>
        <v>0</v>
      </c>
      <c r="F474" s="17">
        <f>13</f>
        <v>13</v>
      </c>
      <c r="G474" s="17">
        <f>2</f>
        <v>2</v>
      </c>
      <c r="H474" s="17">
        <f>31</f>
        <v>31</v>
      </c>
      <c r="I474" s="16">
        <f>H474/(F474-G474)</f>
        <v>2.8181818181818183</v>
      </c>
      <c r="J474" s="17">
        <f>9</f>
        <v>9</v>
      </c>
      <c r="K474" s="25">
        <f>43</f>
        <v>43</v>
      </c>
      <c r="L474" s="25">
        <f>7</f>
        <v>7</v>
      </c>
      <c r="M474" s="25">
        <f>138</f>
        <v>138</v>
      </c>
      <c r="N474" s="24">
        <f>M474/L474</f>
        <v>19.714285714285715</v>
      </c>
      <c r="O474" s="49" t="s">
        <v>1618</v>
      </c>
    </row>
    <row r="475" spans="1:15" s="54" customFormat="1" x14ac:dyDescent="0.2">
      <c r="A475" s="4"/>
      <c r="B475" s="34" t="s">
        <v>735</v>
      </c>
      <c r="C475" s="2" t="s">
        <v>212</v>
      </c>
      <c r="D475" s="7">
        <f>0</f>
        <v>0</v>
      </c>
      <c r="E475" s="7"/>
      <c r="F475" s="17"/>
      <c r="G475" s="17"/>
      <c r="H475" s="17"/>
      <c r="I475" s="16" t="e">
        <f>H475/(F475-G475)</f>
        <v>#DIV/0!</v>
      </c>
      <c r="J475" s="17"/>
      <c r="K475" s="25">
        <f>1</f>
        <v>1</v>
      </c>
      <c r="L475" s="25">
        <f>0</f>
        <v>0</v>
      </c>
      <c r="M475" s="25">
        <f>4</f>
        <v>4</v>
      </c>
      <c r="N475" s="24" t="e">
        <f>M475/L475</f>
        <v>#DIV/0!</v>
      </c>
      <c r="O475" s="23"/>
    </row>
    <row r="476" spans="1:15" s="54" customFormat="1" x14ac:dyDescent="0.2">
      <c r="A476" s="84">
        <v>1597845</v>
      </c>
      <c r="B476" s="35" t="s">
        <v>1859</v>
      </c>
      <c r="C476" s="2" t="s">
        <v>73</v>
      </c>
      <c r="D476" s="7">
        <f>4+0+2</f>
        <v>6</v>
      </c>
      <c r="E476" s="7">
        <f>0</f>
        <v>0</v>
      </c>
      <c r="F476" s="17">
        <f>5+8+9</f>
        <v>22</v>
      </c>
      <c r="G476" s="17">
        <f>2+3+1</f>
        <v>6</v>
      </c>
      <c r="H476" s="17">
        <f>28+34+98</f>
        <v>160</v>
      </c>
      <c r="I476" s="16">
        <f>H476/(F476-G476)</f>
        <v>10</v>
      </c>
      <c r="J476" s="17">
        <v>44</v>
      </c>
      <c r="K476" s="25">
        <f>46+55+75</f>
        <v>176</v>
      </c>
      <c r="L476" s="25">
        <f>11+12+13</f>
        <v>36</v>
      </c>
      <c r="M476" s="25">
        <f>141+230+299</f>
        <v>670</v>
      </c>
      <c r="N476" s="24">
        <f>M476/L476</f>
        <v>18.611111111111111</v>
      </c>
      <c r="O476" s="49" t="s">
        <v>2268</v>
      </c>
    </row>
    <row r="477" spans="1:15" s="54" customFormat="1" x14ac:dyDescent="0.2">
      <c r="A477" s="4"/>
      <c r="B477" s="35" t="s">
        <v>736</v>
      </c>
      <c r="C477" s="2" t="s">
        <v>14</v>
      </c>
      <c r="D477" s="8">
        <v>1</v>
      </c>
      <c r="E477" s="7"/>
      <c r="F477" s="17">
        <v>7</v>
      </c>
      <c r="G477" s="17">
        <v>2</v>
      </c>
      <c r="H477" s="17">
        <v>36</v>
      </c>
      <c r="I477" s="16">
        <f>H477/(F477-G477)</f>
        <v>7.2</v>
      </c>
      <c r="J477" s="17">
        <v>15</v>
      </c>
      <c r="K477" s="25"/>
      <c r="L477" s="25"/>
      <c r="M477" s="25"/>
      <c r="N477" s="24" t="e">
        <f>M477/L477</f>
        <v>#DIV/0!</v>
      </c>
      <c r="O477" s="23"/>
    </row>
    <row r="478" spans="1:15" x14ac:dyDescent="0.2">
      <c r="A478" s="4">
        <v>967854</v>
      </c>
      <c r="B478" s="35" t="s">
        <v>737</v>
      </c>
      <c r="C478" s="2" t="s">
        <v>367</v>
      </c>
      <c r="D478" s="7">
        <f>9+8</f>
        <v>17</v>
      </c>
      <c r="E478" s="7">
        <f>4</f>
        <v>4</v>
      </c>
      <c r="F478" s="17">
        <f>16+10</f>
        <v>26</v>
      </c>
      <c r="G478" s="17">
        <f>1+0</f>
        <v>1</v>
      </c>
      <c r="H478" s="17">
        <f>161+232</f>
        <v>393</v>
      </c>
      <c r="I478" s="16">
        <f>H478/(F478-G478)</f>
        <v>15.72</v>
      </c>
      <c r="J478" s="17" t="s">
        <v>320</v>
      </c>
      <c r="K478" s="25">
        <f>56+36.2</f>
        <v>92.2</v>
      </c>
      <c r="L478" s="25">
        <f>16+8</f>
        <v>24</v>
      </c>
      <c r="M478" s="25">
        <f>192+134</f>
        <v>326</v>
      </c>
      <c r="N478" s="24">
        <f>M478/L478</f>
        <v>13.583333333333334</v>
      </c>
      <c r="O478" s="49" t="s">
        <v>1369</v>
      </c>
    </row>
    <row r="479" spans="1:15" x14ac:dyDescent="0.2">
      <c r="A479" s="4"/>
      <c r="B479" s="35" t="s">
        <v>738</v>
      </c>
      <c r="C479" s="2" t="s">
        <v>104</v>
      </c>
      <c r="D479" s="7">
        <v>1</v>
      </c>
      <c r="E479" s="7"/>
      <c r="F479" s="17">
        <v>7</v>
      </c>
      <c r="G479" s="17">
        <v>0</v>
      </c>
      <c r="H479" s="17">
        <v>125</v>
      </c>
      <c r="I479" s="16">
        <f>H479/(F479-G479)</f>
        <v>17.857142857142858</v>
      </c>
      <c r="J479" s="17">
        <v>43</v>
      </c>
      <c r="K479" s="25">
        <v>30</v>
      </c>
      <c r="L479" s="25">
        <v>3</v>
      </c>
      <c r="M479" s="25">
        <v>123</v>
      </c>
      <c r="N479" s="24">
        <f>M479/L479</f>
        <v>41</v>
      </c>
      <c r="O479" s="23"/>
    </row>
    <row r="480" spans="1:15" s="5" customFormat="1" x14ac:dyDescent="0.2">
      <c r="A480" s="4"/>
      <c r="B480" s="35" t="s">
        <v>739</v>
      </c>
      <c r="C480" s="2" t="s">
        <v>18</v>
      </c>
      <c r="D480" s="7">
        <f>11+2+2</f>
        <v>15</v>
      </c>
      <c r="E480" s="7"/>
      <c r="F480" s="17">
        <f>74+12+3</f>
        <v>89</v>
      </c>
      <c r="G480" s="17">
        <f>30+1</f>
        <v>31</v>
      </c>
      <c r="H480" s="17">
        <f>332+82+5</f>
        <v>419</v>
      </c>
      <c r="I480" s="16">
        <f>H480/(F480-G480)</f>
        <v>7.2241379310344831</v>
      </c>
      <c r="J480" s="17" t="s">
        <v>417</v>
      </c>
      <c r="K480" s="25">
        <f>345+30+4</f>
        <v>379</v>
      </c>
      <c r="L480" s="25">
        <f>57+13+1</f>
        <v>71</v>
      </c>
      <c r="M480" s="25">
        <f>926+98+15</f>
        <v>1039</v>
      </c>
      <c r="N480" s="24">
        <f>M480/L480</f>
        <v>14.633802816901408</v>
      </c>
      <c r="O480" s="23"/>
    </row>
    <row r="481" spans="1:15" x14ac:dyDescent="0.2">
      <c r="A481" s="4"/>
      <c r="B481" s="35" t="s">
        <v>740</v>
      </c>
      <c r="C481" s="2" t="s">
        <v>130</v>
      </c>
      <c r="D481" s="8">
        <v>41</v>
      </c>
      <c r="E481" s="7">
        <v>4</v>
      </c>
      <c r="F481" s="17">
        <f>41+10+10+13+15</f>
        <v>89</v>
      </c>
      <c r="G481" s="17">
        <f>4+4+2+1</f>
        <v>11</v>
      </c>
      <c r="H481" s="17">
        <f>1080+367+202+298+236</f>
        <v>2183</v>
      </c>
      <c r="I481" s="16">
        <f>H481/(F481-G481)</f>
        <v>27.987179487179485</v>
      </c>
      <c r="J481" s="17" t="s">
        <v>418</v>
      </c>
      <c r="K481" s="25">
        <v>2</v>
      </c>
      <c r="L481" s="25">
        <v>3</v>
      </c>
      <c r="M481" s="25">
        <v>8</v>
      </c>
      <c r="N481" s="24">
        <f>M481/L481</f>
        <v>2.6666666666666665</v>
      </c>
      <c r="O481" s="23"/>
    </row>
    <row r="482" spans="1:15" s="54" customFormat="1" x14ac:dyDescent="0.2">
      <c r="A482" s="4"/>
      <c r="B482" s="35" t="s">
        <v>741</v>
      </c>
      <c r="C482" s="2" t="s">
        <v>17</v>
      </c>
      <c r="D482" s="8"/>
      <c r="E482" s="7"/>
      <c r="F482" s="17">
        <v>23</v>
      </c>
      <c r="G482" s="17">
        <v>6</v>
      </c>
      <c r="H482" s="17">
        <v>310</v>
      </c>
      <c r="I482" s="16">
        <f>H482/(F482-G482)</f>
        <v>18.235294117647058</v>
      </c>
      <c r="J482" s="17">
        <v>86</v>
      </c>
      <c r="K482" s="25"/>
      <c r="L482" s="25"/>
      <c r="M482" s="25"/>
      <c r="N482" s="24" t="e">
        <f>M482/L482</f>
        <v>#DIV/0!</v>
      </c>
      <c r="O482" s="23"/>
    </row>
    <row r="483" spans="1:15" s="54" customFormat="1" x14ac:dyDescent="0.2">
      <c r="A483" s="4"/>
      <c r="B483" s="35" t="s">
        <v>742</v>
      </c>
      <c r="C483" s="2" t="s">
        <v>307</v>
      </c>
      <c r="D483" s="8">
        <f>2+6+3+3+2+5+5+3</f>
        <v>29</v>
      </c>
      <c r="E483" s="7"/>
      <c r="F483" s="17">
        <f>16+11+2+9+11+10+2+10+14+8+9</f>
        <v>102</v>
      </c>
      <c r="G483" s="17">
        <f>3+1+1+2+0+0+1</f>
        <v>8</v>
      </c>
      <c r="H483" s="17">
        <f>93+113+21+90+113+190+12+21+52+22+34</f>
        <v>761</v>
      </c>
      <c r="I483" s="16">
        <f>H483/(F483-G483)</f>
        <v>8.0957446808510642</v>
      </c>
      <c r="J483" s="17" t="s">
        <v>308</v>
      </c>
      <c r="K483" s="25">
        <f>72+72+6+50+97+94+25+29+69+37+3</f>
        <v>554</v>
      </c>
      <c r="L483" s="25">
        <f>15+14+1+7+22+30+7+2+16+5+1</f>
        <v>120</v>
      </c>
      <c r="M483" s="25">
        <f>158+122+9+162+198+163+49+115+189+198+26</f>
        <v>1389</v>
      </c>
      <c r="N483" s="24">
        <f>M483/L483</f>
        <v>11.574999999999999</v>
      </c>
      <c r="O483" s="23"/>
    </row>
    <row r="484" spans="1:15" s="5" customFormat="1" x14ac:dyDescent="0.2">
      <c r="A484" s="57"/>
      <c r="B484" s="65" t="s">
        <v>2648</v>
      </c>
      <c r="C484" s="58" t="s">
        <v>2649</v>
      </c>
      <c r="D484" s="59">
        <v>0</v>
      </c>
      <c r="E484" s="59">
        <v>0</v>
      </c>
      <c r="F484" s="60">
        <v>6</v>
      </c>
      <c r="G484" s="60">
        <v>1</v>
      </c>
      <c r="H484" s="60">
        <v>25</v>
      </c>
      <c r="I484" s="61">
        <f>H484/(F484-G484)</f>
        <v>5</v>
      </c>
      <c r="J484" s="60">
        <v>15</v>
      </c>
      <c r="K484" s="62">
        <v>20</v>
      </c>
      <c r="L484" s="62">
        <v>5</v>
      </c>
      <c r="M484" s="62">
        <v>74</v>
      </c>
      <c r="N484" s="63">
        <f>M484/L484</f>
        <v>14.8</v>
      </c>
      <c r="O484" s="66" t="s">
        <v>2584</v>
      </c>
    </row>
    <row r="485" spans="1:15" x14ac:dyDescent="0.2">
      <c r="A485" s="4"/>
      <c r="B485" s="35" t="s">
        <v>743</v>
      </c>
      <c r="C485" s="2" t="s">
        <v>19</v>
      </c>
      <c r="D485" s="8"/>
      <c r="E485" s="7"/>
      <c r="F485" s="17">
        <v>8</v>
      </c>
      <c r="G485" s="17">
        <v>2</v>
      </c>
      <c r="H485" s="17">
        <v>21</v>
      </c>
      <c r="I485" s="16">
        <f>H485/(F485-G485)</f>
        <v>3.5</v>
      </c>
      <c r="J485" s="17">
        <v>14</v>
      </c>
      <c r="K485" s="25">
        <v>21</v>
      </c>
      <c r="L485" s="25">
        <v>3</v>
      </c>
      <c r="M485" s="25">
        <v>52</v>
      </c>
      <c r="N485" s="24">
        <f>M485/L485</f>
        <v>17.333333333333332</v>
      </c>
      <c r="O485" s="23"/>
    </row>
    <row r="486" spans="1:15" s="54" customFormat="1" x14ac:dyDescent="0.2">
      <c r="A486" s="4"/>
      <c r="B486" s="34" t="s">
        <v>744</v>
      </c>
      <c r="C486" s="2" t="s">
        <v>110</v>
      </c>
      <c r="D486" s="7">
        <f>4+0</f>
        <v>4</v>
      </c>
      <c r="E486" s="7"/>
      <c r="F486" s="17">
        <f>7+0</f>
        <v>7</v>
      </c>
      <c r="G486" s="17">
        <f>2+0</f>
        <v>2</v>
      </c>
      <c r="H486" s="17">
        <f>21+0</f>
        <v>21</v>
      </c>
      <c r="I486" s="16">
        <f>H486/(F486-G486)</f>
        <v>4.2</v>
      </c>
      <c r="J486" s="17">
        <v>8</v>
      </c>
      <c r="K486" s="25">
        <f>12+2</f>
        <v>14</v>
      </c>
      <c r="L486" s="25">
        <f>1+0</f>
        <v>1</v>
      </c>
      <c r="M486" s="25">
        <f>53+4</f>
        <v>57</v>
      </c>
      <c r="N486" s="24">
        <f>M486/L486</f>
        <v>57</v>
      </c>
      <c r="O486" s="23"/>
    </row>
    <row r="487" spans="1:15" x14ac:dyDescent="0.2">
      <c r="A487" s="4"/>
      <c r="B487" s="35" t="s">
        <v>745</v>
      </c>
      <c r="C487" s="2" t="s">
        <v>121</v>
      </c>
      <c r="D487" s="8">
        <f>9+5</f>
        <v>14</v>
      </c>
      <c r="E487" s="7"/>
      <c r="F487" s="17">
        <f>2+11+18</f>
        <v>31</v>
      </c>
      <c r="G487" s="17">
        <f>2+1</f>
        <v>3</v>
      </c>
      <c r="H487" s="17">
        <f>4+112+171</f>
        <v>287</v>
      </c>
      <c r="I487" s="16">
        <f>H487/(F487-G487)</f>
        <v>10.25</v>
      </c>
      <c r="J487" s="17">
        <v>42</v>
      </c>
      <c r="K487" s="25">
        <f>4+38</f>
        <v>42</v>
      </c>
      <c r="L487" s="25">
        <f>2+7</f>
        <v>9</v>
      </c>
      <c r="M487" s="25">
        <f>23+104</f>
        <v>127</v>
      </c>
      <c r="N487" s="24">
        <f>M487/L487</f>
        <v>14.111111111111111</v>
      </c>
      <c r="O487" s="23"/>
    </row>
    <row r="488" spans="1:15" x14ac:dyDescent="0.2">
      <c r="A488" s="4"/>
      <c r="B488" s="35" t="s">
        <v>746</v>
      </c>
      <c r="C488" s="2" t="s">
        <v>115</v>
      </c>
      <c r="D488" s="7">
        <f>7+4+1</f>
        <v>12</v>
      </c>
      <c r="E488" s="7"/>
      <c r="F488" s="17">
        <f>18+5+8</f>
        <v>31</v>
      </c>
      <c r="G488" s="17">
        <f>5+2+1</f>
        <v>8</v>
      </c>
      <c r="H488" s="17">
        <f>79+36+76</f>
        <v>191</v>
      </c>
      <c r="I488" s="16">
        <f>H488/(F488-G488)</f>
        <v>8.304347826086957</v>
      </c>
      <c r="J488" s="17">
        <v>35</v>
      </c>
      <c r="K488" s="25">
        <f>316+113+112</f>
        <v>541</v>
      </c>
      <c r="L488" s="25">
        <f>56+21+12</f>
        <v>89</v>
      </c>
      <c r="M488" s="25">
        <f>1075+355+388</f>
        <v>1818</v>
      </c>
      <c r="N488" s="24">
        <f>M488/L488</f>
        <v>20.426966292134832</v>
      </c>
      <c r="O488" s="23"/>
    </row>
    <row r="489" spans="1:15" s="54" customFormat="1" x14ac:dyDescent="0.2">
      <c r="A489" s="4"/>
      <c r="B489" s="35" t="s">
        <v>747</v>
      </c>
      <c r="C489" s="2" t="s">
        <v>20</v>
      </c>
      <c r="D489" s="7">
        <v>1</v>
      </c>
      <c r="E489" s="7"/>
      <c r="F489" s="17">
        <v>11</v>
      </c>
      <c r="G489" s="17"/>
      <c r="H489" s="17">
        <v>107</v>
      </c>
      <c r="I489" s="16">
        <f>H489/(F489-G489)</f>
        <v>9.7272727272727266</v>
      </c>
      <c r="J489" s="17">
        <v>26</v>
      </c>
      <c r="K489" s="25"/>
      <c r="L489" s="25"/>
      <c r="M489" s="25"/>
      <c r="N489" s="24" t="e">
        <f>M489/L489</f>
        <v>#DIV/0!</v>
      </c>
      <c r="O489" s="23"/>
    </row>
    <row r="490" spans="1:15" x14ac:dyDescent="0.2">
      <c r="A490" s="4"/>
      <c r="B490" s="35" t="s">
        <v>748</v>
      </c>
      <c r="C490" s="2" t="s">
        <v>161</v>
      </c>
      <c r="D490" s="7">
        <v>12</v>
      </c>
      <c r="E490" s="7"/>
      <c r="F490" s="17">
        <v>21</v>
      </c>
      <c r="G490" s="17">
        <v>2</v>
      </c>
      <c r="H490" s="17">
        <v>444</v>
      </c>
      <c r="I490" s="16">
        <f>H490/(F490-G490)</f>
        <v>23.368421052631579</v>
      </c>
      <c r="J490" s="17" t="s">
        <v>419</v>
      </c>
      <c r="K490" s="25">
        <v>26.5</v>
      </c>
      <c r="L490" s="25">
        <v>7</v>
      </c>
      <c r="M490" s="25">
        <v>92</v>
      </c>
      <c r="N490" s="24">
        <f>M490/L490</f>
        <v>13.142857142857142</v>
      </c>
      <c r="O490" s="23"/>
    </row>
    <row r="491" spans="1:15" x14ac:dyDescent="0.2">
      <c r="A491" s="57"/>
      <c r="B491" s="65" t="s">
        <v>2655</v>
      </c>
      <c r="C491" s="58" t="s">
        <v>95</v>
      </c>
      <c r="D491" s="59">
        <v>3</v>
      </c>
      <c r="E491" s="59"/>
      <c r="F491" s="60">
        <v>2</v>
      </c>
      <c r="G491" s="60">
        <v>0</v>
      </c>
      <c r="H491" s="60">
        <v>15</v>
      </c>
      <c r="I491" s="61">
        <f>H491/(F491-G491)</f>
        <v>7.5</v>
      </c>
      <c r="J491" s="60">
        <v>15</v>
      </c>
      <c r="K491" s="62"/>
      <c r="L491" s="62"/>
      <c r="M491" s="62"/>
      <c r="N491" s="63" t="e">
        <f>M491/L491</f>
        <v>#DIV/0!</v>
      </c>
      <c r="O491" s="81"/>
    </row>
    <row r="492" spans="1:15" x14ac:dyDescent="0.2">
      <c r="A492" s="4"/>
      <c r="B492" s="35" t="s">
        <v>749</v>
      </c>
      <c r="C492" s="2" t="s">
        <v>382</v>
      </c>
      <c r="D492" s="7">
        <f>7+4+5+4+4+3+3+0+1+5+4+1+1+1+0</f>
        <v>43</v>
      </c>
      <c r="E492" s="7"/>
      <c r="F492" s="17">
        <f>13+8+1+12+8+10+9+1+1+12+2+12+10+7+3+4+3+1</f>
        <v>117</v>
      </c>
      <c r="G492" s="17">
        <f>1+3+2+1+5+4+4+0+0+1+1</f>
        <v>22</v>
      </c>
      <c r="H492" s="17">
        <f>160+141+165+41+118+12+48+15+51+48+16+14+15+17+1</f>
        <v>862</v>
      </c>
      <c r="I492" s="16">
        <f>H492/(F492-G492)</f>
        <v>9.0736842105263165</v>
      </c>
      <c r="J492" s="17">
        <v>57</v>
      </c>
      <c r="K492" s="25">
        <f>98+36+5+49+46+104+9+12+120+22+74+138+100.5+23+12+19</f>
        <v>867.5</v>
      </c>
      <c r="L492" s="25">
        <f>14+4+8+12+17+4+23+7+19+20+16+1+1+1</f>
        <v>147</v>
      </c>
      <c r="M492" s="25">
        <f>207+64+12+63+154+315+19+21+309+100+221+472+381+100+51+100</f>
        <v>2589</v>
      </c>
      <c r="N492" s="24">
        <f>M492/L492</f>
        <v>17.612244897959183</v>
      </c>
      <c r="O492" s="23"/>
    </row>
    <row r="493" spans="1:15" x14ac:dyDescent="0.2">
      <c r="A493" s="4"/>
      <c r="B493" s="35" t="s">
        <v>750</v>
      </c>
      <c r="C493" s="2" t="s">
        <v>43</v>
      </c>
      <c r="D493" s="7">
        <f>1+3+2</f>
        <v>6</v>
      </c>
      <c r="E493" s="7"/>
      <c r="F493" s="17">
        <f>11+7+1+6+6+2+13</f>
        <v>46</v>
      </c>
      <c r="G493" s="17">
        <f>2+2+3+7</f>
        <v>14</v>
      </c>
      <c r="H493" s="17">
        <f>6+7+8+16+25</f>
        <v>62</v>
      </c>
      <c r="I493" s="16">
        <f>H493/(F493-G493)</f>
        <v>1.9375</v>
      </c>
      <c r="J493" s="17" t="s">
        <v>400</v>
      </c>
      <c r="K493" s="25">
        <f>57+39+2+10+10+6</f>
        <v>124</v>
      </c>
      <c r="L493" s="25">
        <f>12+7+2+2+1</f>
        <v>24</v>
      </c>
      <c r="M493" s="25">
        <f>136+79+3+11+16+25</f>
        <v>270</v>
      </c>
      <c r="N493" s="24">
        <f>M493/L493</f>
        <v>11.25</v>
      </c>
      <c r="O493" s="23"/>
    </row>
    <row r="494" spans="1:15" s="54" customFormat="1" x14ac:dyDescent="0.2">
      <c r="A494" s="4"/>
      <c r="B494" s="35" t="s">
        <v>751</v>
      </c>
      <c r="C494" s="2" t="s">
        <v>30</v>
      </c>
      <c r="D494" s="8">
        <v>150</v>
      </c>
      <c r="E494" s="7">
        <v>4</v>
      </c>
      <c r="F494" s="17">
        <f>14+7+12+13+1+17+2+5+11+1+2+5+1+1+12+1+1+14+12+8+4+5+7+1</f>
        <v>157</v>
      </c>
      <c r="G494" s="17">
        <f>1+1+2+1+1+9+1+0+3+1+2+3+1+0</f>
        <v>26</v>
      </c>
      <c r="H494" s="17">
        <f>17+11+55+69+160+8+9+28+1+1+28+11+21+197+11+30+182+66+19+10+48+63+0</f>
        <v>1045</v>
      </c>
      <c r="I494" s="16">
        <f>H494/(F494-G494)</f>
        <v>7.9770992366412212</v>
      </c>
      <c r="J494" s="17">
        <v>54</v>
      </c>
      <c r="K494" s="25">
        <f>42+31+21+2+10+8+0+1</f>
        <v>115</v>
      </c>
      <c r="L494" s="25">
        <f>10+2+4+3+0+0</f>
        <v>19</v>
      </c>
      <c r="M494" s="25">
        <f>101+87+61+6+21+16+0+0</f>
        <v>292</v>
      </c>
      <c r="N494" s="24">
        <f>M494/L494</f>
        <v>15.368421052631579</v>
      </c>
      <c r="O494" s="23"/>
    </row>
    <row r="495" spans="1:15" s="54" customFormat="1" x14ac:dyDescent="0.2">
      <c r="A495" s="4"/>
      <c r="B495" s="35" t="s">
        <v>752</v>
      </c>
      <c r="C495" s="2" t="s">
        <v>10</v>
      </c>
      <c r="D495" s="7">
        <f>2+5+11+1</f>
        <v>19</v>
      </c>
      <c r="E495" s="7"/>
      <c r="F495" s="17">
        <f>9+16+16+1</f>
        <v>42</v>
      </c>
      <c r="G495" s="17">
        <f>2+1</f>
        <v>3</v>
      </c>
      <c r="H495" s="17">
        <f>83+142+275</f>
        <v>500</v>
      </c>
      <c r="I495" s="16">
        <f>H495/(F495-G495)</f>
        <v>12.820512820512821</v>
      </c>
      <c r="J495" s="17">
        <v>76</v>
      </c>
      <c r="K495" s="25">
        <f>19+15+4</f>
        <v>38</v>
      </c>
      <c r="L495" s="25">
        <f>1+3</f>
        <v>4</v>
      </c>
      <c r="M495" s="25">
        <f>93+55+24</f>
        <v>172</v>
      </c>
      <c r="N495" s="24">
        <f>M495/L495</f>
        <v>43</v>
      </c>
      <c r="O495" s="23"/>
    </row>
    <row r="496" spans="1:15" s="54" customFormat="1" x14ac:dyDescent="0.2">
      <c r="A496" s="4">
        <v>681715</v>
      </c>
      <c r="B496" s="34" t="s">
        <v>754</v>
      </c>
      <c r="C496" s="2" t="s">
        <v>368</v>
      </c>
      <c r="D496" s="7">
        <f>0+0+2+0+1+2+1+2+3+1</f>
        <v>12</v>
      </c>
      <c r="E496" s="7">
        <f>0+0+0</f>
        <v>0</v>
      </c>
      <c r="F496" s="17">
        <f>12+8+10+8+9+11+7+8+6+5</f>
        <v>84</v>
      </c>
      <c r="G496" s="17">
        <f>1+1+2+0+5+1+0+0+1+2</f>
        <v>13</v>
      </c>
      <c r="H496" s="17">
        <f>27+23+41+74+47+33+29+45+51+5</f>
        <v>375</v>
      </c>
      <c r="I496" s="16">
        <f>H496/(F496-G496)</f>
        <v>5.28169014084507</v>
      </c>
      <c r="J496" s="17">
        <v>29</v>
      </c>
      <c r="K496" s="25">
        <f>5+2+8+6+12+0.2+1</f>
        <v>34.200000000000003</v>
      </c>
      <c r="L496" s="25">
        <f>0+0+4+2+4+1+0</f>
        <v>11</v>
      </c>
      <c r="M496" s="25">
        <f>40+6+39+42+56+1+13</f>
        <v>197</v>
      </c>
      <c r="N496" s="24">
        <f>M496/L496</f>
        <v>17.90909090909091</v>
      </c>
      <c r="O496" s="23" t="s">
        <v>1502</v>
      </c>
    </row>
    <row r="497" spans="1:15" s="54" customFormat="1" x14ac:dyDescent="0.2">
      <c r="A497" s="4">
        <v>678134</v>
      </c>
      <c r="B497" s="35" t="s">
        <v>753</v>
      </c>
      <c r="C497" s="2" t="s">
        <v>369</v>
      </c>
      <c r="D497" s="7">
        <f>1+1+2+0+2+2+0</f>
        <v>8</v>
      </c>
      <c r="E497" s="7">
        <f>0</f>
        <v>0</v>
      </c>
      <c r="F497" s="15">
        <f>2+1+2+1+1+1+1+1+1+1+8+2+7+15+13+11+5</f>
        <v>73</v>
      </c>
      <c r="G497" s="15">
        <f>1+1+1+3+0+1+3+1</f>
        <v>11</v>
      </c>
      <c r="H497" s="15">
        <f>0+0+1+0+0+0+0+0+0+0+8+3+4+42+66+14+13</f>
        <v>151</v>
      </c>
      <c r="I497" s="16">
        <f>H497/(F497-G497)</f>
        <v>2.435483870967742</v>
      </c>
      <c r="J497" s="17">
        <v>17</v>
      </c>
      <c r="K497" s="23">
        <f>3+3+2+2+2+4+23+2+10+12+6</f>
        <v>69</v>
      </c>
      <c r="L497" s="23">
        <f>1+6+1+3+0+0</f>
        <v>11</v>
      </c>
      <c r="M497" s="23">
        <f>102+97+15+27+67+42</f>
        <v>350</v>
      </c>
      <c r="N497" s="24">
        <f>M497/L497</f>
        <v>31.818181818181817</v>
      </c>
      <c r="O497" s="23"/>
    </row>
    <row r="498" spans="1:15" s="54" customFormat="1" x14ac:dyDescent="0.2">
      <c r="A498" s="4"/>
      <c r="B498" s="35" t="s">
        <v>755</v>
      </c>
      <c r="C498" s="2" t="s">
        <v>43</v>
      </c>
      <c r="D498" s="7">
        <f>1+3+4+2+0+2+0+1</f>
        <v>13</v>
      </c>
      <c r="E498" s="7"/>
      <c r="F498" s="17">
        <f>8+17+10+10+2+4+7+1+6+10+5+5</f>
        <v>85</v>
      </c>
      <c r="G498" s="17">
        <f>5+5+2+3+1</f>
        <v>16</v>
      </c>
      <c r="H498" s="17">
        <f>5+62+27+38+3+5+19+9+14+87+21+42</f>
        <v>332</v>
      </c>
      <c r="I498" s="16">
        <f>H498/(F498-G498)</f>
        <v>4.8115942028985508</v>
      </c>
      <c r="J498" s="17" t="s">
        <v>420</v>
      </c>
      <c r="K498" s="25">
        <f>52+114+44+40+14+78+10+12+80+97+36+13</f>
        <v>590</v>
      </c>
      <c r="L498" s="25">
        <f>8+26+7+17+9+14+2+3+17+14+8+1</f>
        <v>126</v>
      </c>
      <c r="M498" s="25">
        <f>115+198+141+100+30+169+11+23+171+279+105+56</f>
        <v>1398</v>
      </c>
      <c r="N498" s="24">
        <f>M498/L498</f>
        <v>11.095238095238095</v>
      </c>
      <c r="O498" s="23"/>
    </row>
    <row r="499" spans="1:15" x14ac:dyDescent="0.2">
      <c r="A499" s="4"/>
      <c r="B499" s="35" t="s">
        <v>756</v>
      </c>
      <c r="C499" s="2" t="s">
        <v>86</v>
      </c>
      <c r="D499" s="7">
        <f>6+1+1+2+2</f>
        <v>12</v>
      </c>
      <c r="E499" s="7"/>
      <c r="F499" s="17">
        <f>5+11+1+1+3+4+9+6</f>
        <v>40</v>
      </c>
      <c r="G499" s="17">
        <f>1+6+1+1+8+3+1</f>
        <v>21</v>
      </c>
      <c r="H499" s="17">
        <f>1+10+3+7+27+54+54</f>
        <v>156</v>
      </c>
      <c r="I499" s="16">
        <f>H499/(F499-G499)</f>
        <v>8.2105263157894743</v>
      </c>
      <c r="J499" s="17" t="s">
        <v>274</v>
      </c>
      <c r="K499" s="25">
        <f>6+19+4+11+3+4+1</f>
        <v>48</v>
      </c>
      <c r="L499" s="25">
        <f>2+2+1+2+1</f>
        <v>8</v>
      </c>
      <c r="M499" s="25">
        <f>22+43+16+28+5+33+0</f>
        <v>147</v>
      </c>
      <c r="N499" s="24">
        <f>M499/L499</f>
        <v>18.375</v>
      </c>
      <c r="O499" s="23"/>
    </row>
    <row r="500" spans="1:15" s="5" customFormat="1" x14ac:dyDescent="0.2">
      <c r="A500" s="4"/>
      <c r="B500" s="34" t="s">
        <v>757</v>
      </c>
      <c r="C500" s="2" t="s">
        <v>312</v>
      </c>
      <c r="D500" s="7">
        <f>2</f>
        <v>2</v>
      </c>
      <c r="E500" s="7"/>
      <c r="F500" s="17">
        <f>9</f>
        <v>9</v>
      </c>
      <c r="G500" s="17">
        <f>1</f>
        <v>1</v>
      </c>
      <c r="H500" s="17">
        <f>49</f>
        <v>49</v>
      </c>
      <c r="I500" s="16">
        <f>H500/(F500-G500)</f>
        <v>6.125</v>
      </c>
      <c r="J500" s="17">
        <v>18</v>
      </c>
      <c r="K500" s="25">
        <f>8.3</f>
        <v>8.3000000000000007</v>
      </c>
      <c r="L500" s="25">
        <f>3</f>
        <v>3</v>
      </c>
      <c r="M500" s="25">
        <f>36</f>
        <v>36</v>
      </c>
      <c r="N500" s="24">
        <f>M500/L500</f>
        <v>12</v>
      </c>
      <c r="O500" s="23"/>
    </row>
    <row r="501" spans="1:15" x14ac:dyDescent="0.2">
      <c r="A501" s="4"/>
      <c r="B501" s="35" t="s">
        <v>758</v>
      </c>
      <c r="C501" s="2" t="s">
        <v>177</v>
      </c>
      <c r="D501" s="7">
        <v>29</v>
      </c>
      <c r="E501" s="7"/>
      <c r="F501" s="17">
        <v>93</v>
      </c>
      <c r="G501" s="17">
        <v>12</v>
      </c>
      <c r="H501" s="17">
        <v>1138</v>
      </c>
      <c r="I501" s="16">
        <f>H501/(F501-G501)</f>
        <v>14.049382716049383</v>
      </c>
      <c r="J501" s="17">
        <v>56</v>
      </c>
      <c r="K501" s="25">
        <v>1165.0999999999999</v>
      </c>
      <c r="L501" s="25">
        <v>175</v>
      </c>
      <c r="M501" s="25">
        <v>3472</v>
      </c>
      <c r="N501" s="24">
        <f>M501/L501</f>
        <v>19.84</v>
      </c>
      <c r="O501" s="23"/>
    </row>
    <row r="502" spans="1:15" x14ac:dyDescent="0.2">
      <c r="A502" s="4"/>
      <c r="B502" s="35" t="s">
        <v>759</v>
      </c>
      <c r="C502" s="2" t="s">
        <v>10</v>
      </c>
      <c r="D502" s="7">
        <v>18</v>
      </c>
      <c r="E502" s="7"/>
      <c r="F502" s="17">
        <v>26</v>
      </c>
      <c r="G502" s="17"/>
      <c r="H502" s="17">
        <v>574</v>
      </c>
      <c r="I502" s="16">
        <f>H502/(F502-G502)</f>
        <v>22.076923076923077</v>
      </c>
      <c r="J502" s="17">
        <v>105</v>
      </c>
      <c r="K502" s="25"/>
      <c r="L502" s="25"/>
      <c r="M502" s="25"/>
      <c r="N502" s="24" t="e">
        <f>M502/L502</f>
        <v>#DIV/0!</v>
      </c>
      <c r="O502" s="23"/>
    </row>
    <row r="503" spans="1:15" s="54" customFormat="1" x14ac:dyDescent="0.2">
      <c r="A503" s="4"/>
      <c r="B503" s="34" t="s">
        <v>760</v>
      </c>
      <c r="C503" s="2" t="s">
        <v>270</v>
      </c>
      <c r="D503" s="7">
        <v>0</v>
      </c>
      <c r="E503" s="7"/>
      <c r="F503" s="17">
        <v>13</v>
      </c>
      <c r="G503" s="17">
        <v>4</v>
      </c>
      <c r="H503" s="17">
        <v>10</v>
      </c>
      <c r="I503" s="16">
        <f>H503/(F503-G503)</f>
        <v>1.1111111111111112</v>
      </c>
      <c r="J503" s="17" t="s">
        <v>271</v>
      </c>
      <c r="K503" s="25">
        <v>22</v>
      </c>
      <c r="L503" s="25">
        <v>3</v>
      </c>
      <c r="M503" s="25">
        <v>124</v>
      </c>
      <c r="N503" s="24">
        <f>M503/L503</f>
        <v>41.333333333333336</v>
      </c>
      <c r="O503" s="23"/>
    </row>
    <row r="504" spans="1:15" s="54" customFormat="1" x14ac:dyDescent="0.2">
      <c r="A504" s="4"/>
      <c r="B504" s="35" t="s">
        <v>761</v>
      </c>
      <c r="C504" s="2" t="s">
        <v>10</v>
      </c>
      <c r="D504" s="7">
        <v>5</v>
      </c>
      <c r="E504" s="7"/>
      <c r="F504" s="17">
        <v>13</v>
      </c>
      <c r="G504" s="17">
        <v>1</v>
      </c>
      <c r="H504" s="17">
        <v>20</v>
      </c>
      <c r="I504" s="16">
        <f>H504/(F504-G504)</f>
        <v>1.6666666666666667</v>
      </c>
      <c r="J504" s="17">
        <v>4</v>
      </c>
      <c r="K504" s="25">
        <v>2</v>
      </c>
      <c r="L504" s="25">
        <v>0</v>
      </c>
      <c r="M504" s="25">
        <v>12</v>
      </c>
      <c r="N504" s="24" t="e">
        <f>M504/L504</f>
        <v>#DIV/0!</v>
      </c>
      <c r="O504" s="23"/>
    </row>
    <row r="505" spans="1:15" x14ac:dyDescent="0.2">
      <c r="A505" s="84">
        <v>1279745</v>
      </c>
      <c r="B505" s="35" t="s">
        <v>1689</v>
      </c>
      <c r="C505" s="2" t="s">
        <v>1690</v>
      </c>
      <c r="D505" s="7">
        <f>2</f>
        <v>2</v>
      </c>
      <c r="E505" s="7">
        <f>0</f>
        <v>0</v>
      </c>
      <c r="F505" s="17">
        <f>10</f>
        <v>10</v>
      </c>
      <c r="G505" s="17">
        <f>2</f>
        <v>2</v>
      </c>
      <c r="H505" s="17">
        <f>24</f>
        <v>24</v>
      </c>
      <c r="I505" s="16">
        <f>H505/(F505-G505)</f>
        <v>3</v>
      </c>
      <c r="J505" s="17">
        <v>13</v>
      </c>
      <c r="K505" s="25">
        <f>46</f>
        <v>46</v>
      </c>
      <c r="L505" s="25">
        <f>9</f>
        <v>9</v>
      </c>
      <c r="M505" s="25">
        <f>107</f>
        <v>107</v>
      </c>
      <c r="N505" s="24">
        <f>M505/L505</f>
        <v>11.888888888888889</v>
      </c>
      <c r="O505" s="49" t="s">
        <v>1621</v>
      </c>
    </row>
    <row r="506" spans="1:15" x14ac:dyDescent="0.2">
      <c r="A506" s="84">
        <v>1765534</v>
      </c>
      <c r="B506" s="35" t="s">
        <v>1860</v>
      </c>
      <c r="C506" s="2" t="s">
        <v>1861</v>
      </c>
      <c r="D506" s="7">
        <f>0+0+0</f>
        <v>0</v>
      </c>
      <c r="E506" s="7">
        <f>0+0</f>
        <v>0</v>
      </c>
      <c r="F506" s="17">
        <f>5+10+9</f>
        <v>24</v>
      </c>
      <c r="G506" s="17">
        <f>2+2+2</f>
        <v>6</v>
      </c>
      <c r="H506" s="17">
        <f>15+82+60</f>
        <v>157</v>
      </c>
      <c r="I506" s="16">
        <f>H506/(F506-G506)</f>
        <v>8.7222222222222214</v>
      </c>
      <c r="J506" s="17">
        <v>21</v>
      </c>
      <c r="K506" s="25">
        <f>33+66.2+47</f>
        <v>146.19999999999999</v>
      </c>
      <c r="L506" s="25">
        <f>5+8+3</f>
        <v>16</v>
      </c>
      <c r="M506" s="25">
        <f>145+280+148</f>
        <v>573</v>
      </c>
      <c r="N506" s="24">
        <f>M506/L506</f>
        <v>35.8125</v>
      </c>
      <c r="O506" s="49" t="s">
        <v>1470</v>
      </c>
    </row>
    <row r="507" spans="1:15" s="5" customFormat="1" x14ac:dyDescent="0.2">
      <c r="A507" s="84">
        <v>2194271</v>
      </c>
      <c r="B507" s="35" t="s">
        <v>2621</v>
      </c>
      <c r="C507" s="2" t="s">
        <v>2622</v>
      </c>
      <c r="D507" s="7">
        <v>2</v>
      </c>
      <c r="E507" s="7">
        <v>0</v>
      </c>
      <c r="F507" s="17">
        <v>8</v>
      </c>
      <c r="G507" s="17">
        <v>2</v>
      </c>
      <c r="H507" s="17">
        <v>80</v>
      </c>
      <c r="I507" s="16">
        <f>H507/(F507-G507)</f>
        <v>13.333333333333334</v>
      </c>
      <c r="J507" s="17">
        <v>25</v>
      </c>
      <c r="K507" s="25">
        <v>20</v>
      </c>
      <c r="L507" s="25">
        <v>6</v>
      </c>
      <c r="M507" s="25">
        <v>59</v>
      </c>
      <c r="N507" s="24">
        <f>M507/L507</f>
        <v>9.8333333333333339</v>
      </c>
      <c r="O507" s="49" t="s">
        <v>2022</v>
      </c>
    </row>
    <row r="508" spans="1:15" s="54" customFormat="1" x14ac:dyDescent="0.2">
      <c r="A508" s="4"/>
      <c r="B508" s="35" t="s">
        <v>762</v>
      </c>
      <c r="C508" s="2" t="s">
        <v>55</v>
      </c>
      <c r="D508" s="7">
        <v>2</v>
      </c>
      <c r="E508" s="7"/>
      <c r="F508" s="17">
        <f>3+9</f>
        <v>12</v>
      </c>
      <c r="G508" s="17">
        <v>1</v>
      </c>
      <c r="H508" s="17">
        <f>27+226</f>
        <v>253</v>
      </c>
      <c r="I508" s="16">
        <f>H508/(F508-G508)</f>
        <v>23</v>
      </c>
      <c r="J508" s="17">
        <v>78</v>
      </c>
      <c r="K508" s="25">
        <f>2+32+11.2</f>
        <v>45.2</v>
      </c>
      <c r="L508" s="25">
        <f>8+5</f>
        <v>13</v>
      </c>
      <c r="M508" s="25">
        <f>22+146+47</f>
        <v>215</v>
      </c>
      <c r="N508" s="24">
        <f>M508/L508</f>
        <v>16.53846153846154</v>
      </c>
      <c r="O508" s="23"/>
    </row>
    <row r="509" spans="1:15" s="54" customFormat="1" x14ac:dyDescent="0.2">
      <c r="A509" s="64">
        <v>768031</v>
      </c>
      <c r="B509" s="65" t="s">
        <v>1862</v>
      </c>
      <c r="C509" s="58" t="s">
        <v>1863</v>
      </c>
      <c r="D509" s="59">
        <f>0+1+1+0</f>
        <v>2</v>
      </c>
      <c r="E509" s="59">
        <f>0+0</f>
        <v>0</v>
      </c>
      <c r="F509" s="60">
        <f>7+7+3+2+2</f>
        <v>21</v>
      </c>
      <c r="G509" s="60">
        <f>0+1+1+1</f>
        <v>3</v>
      </c>
      <c r="H509" s="60">
        <f>19+39+26+15+5</f>
        <v>104</v>
      </c>
      <c r="I509" s="61">
        <f>H509/(F509-G509)</f>
        <v>5.7777777777777777</v>
      </c>
      <c r="J509" s="60" t="s">
        <v>274</v>
      </c>
      <c r="K509" s="62">
        <f>8+0</f>
        <v>8</v>
      </c>
      <c r="L509" s="62">
        <f>0+0</f>
        <v>0</v>
      </c>
      <c r="M509" s="62">
        <f>27+0</f>
        <v>27</v>
      </c>
      <c r="N509" s="63" t="e">
        <f>M509/L509</f>
        <v>#DIV/0!</v>
      </c>
      <c r="O509" s="81"/>
    </row>
    <row r="510" spans="1:15" s="54" customFormat="1" x14ac:dyDescent="0.2">
      <c r="A510" s="4"/>
      <c r="B510" s="35" t="s">
        <v>763</v>
      </c>
      <c r="C510" s="2" t="s">
        <v>49</v>
      </c>
      <c r="D510" s="7">
        <v>1</v>
      </c>
      <c r="E510" s="7"/>
      <c r="F510" s="17">
        <v>10</v>
      </c>
      <c r="G510" s="17">
        <v>1</v>
      </c>
      <c r="H510" s="17">
        <v>75</v>
      </c>
      <c r="I510" s="16">
        <f>H510/(F510-G510)</f>
        <v>8.3333333333333339</v>
      </c>
      <c r="J510" s="17">
        <v>21</v>
      </c>
      <c r="K510" s="25">
        <v>16</v>
      </c>
      <c r="L510" s="25">
        <v>4</v>
      </c>
      <c r="M510" s="25">
        <v>81</v>
      </c>
      <c r="N510" s="24">
        <f>M510/L510</f>
        <v>20.25</v>
      </c>
      <c r="O510" s="23"/>
    </row>
    <row r="511" spans="1:15" s="54" customFormat="1" x14ac:dyDescent="0.2">
      <c r="A511" s="4"/>
      <c r="B511" s="34" t="s">
        <v>764</v>
      </c>
      <c r="C511" s="2" t="s">
        <v>102</v>
      </c>
      <c r="D511" s="7">
        <f>0</f>
        <v>0</v>
      </c>
      <c r="E511" s="7"/>
      <c r="F511" s="17">
        <f>9</f>
        <v>9</v>
      </c>
      <c r="G511" s="17">
        <f>1</f>
        <v>1</v>
      </c>
      <c r="H511" s="17">
        <f>418</f>
        <v>418</v>
      </c>
      <c r="I511" s="16">
        <f>H511/(F511-G511)</f>
        <v>52.25</v>
      </c>
      <c r="J511" s="17">
        <v>125</v>
      </c>
      <c r="K511" s="25">
        <f>21</f>
        <v>21</v>
      </c>
      <c r="L511" s="25">
        <f>4</f>
        <v>4</v>
      </c>
      <c r="M511" s="25">
        <f>105</f>
        <v>105</v>
      </c>
      <c r="N511" s="24">
        <f>M511/L511</f>
        <v>26.25</v>
      </c>
      <c r="O511" s="23"/>
    </row>
    <row r="512" spans="1:15" s="5" customFormat="1" x14ac:dyDescent="0.2">
      <c r="A512" s="4"/>
      <c r="B512" s="35" t="s">
        <v>765</v>
      </c>
      <c r="C512" s="2" t="s">
        <v>70</v>
      </c>
      <c r="D512" s="7">
        <f>10+4+1+1+2+1+3+6+1+0+1</f>
        <v>30</v>
      </c>
      <c r="E512" s="7"/>
      <c r="F512" s="17">
        <f>25+8+13+2+1+10+4+3+1+2+13+11+1+1+1+3</f>
        <v>99</v>
      </c>
      <c r="G512" s="17">
        <f>3+1+4+1+1+1+0</f>
        <v>11</v>
      </c>
      <c r="H512" s="17">
        <f>240+410+525+15+396+57+69+29+2+170+82+17+17+4</f>
        <v>2033</v>
      </c>
      <c r="I512" s="16">
        <f>H512/(F512-G512)</f>
        <v>23.102272727272727</v>
      </c>
      <c r="J512" s="17">
        <v>144</v>
      </c>
      <c r="K512" s="25">
        <f>110+32+75+75+5+16+19+37+73+10+17+0+12</f>
        <v>481</v>
      </c>
      <c r="L512" s="25">
        <f>21+5+19+8+6+5+2+11+1+3+0+1</f>
        <v>82</v>
      </c>
      <c r="M512" s="25">
        <f>327+100+164+179+22+24+47+182+203+50+42+0+62</f>
        <v>1402</v>
      </c>
      <c r="N512" s="24">
        <f>M512/L512</f>
        <v>17.097560975609756</v>
      </c>
      <c r="O512" s="23"/>
    </row>
    <row r="513" spans="1:15" x14ac:dyDescent="0.2">
      <c r="A513" s="4"/>
      <c r="B513" s="35" t="s">
        <v>766</v>
      </c>
      <c r="C513" s="2" t="s">
        <v>69</v>
      </c>
      <c r="D513" s="7">
        <f>2+6+4+1+7</f>
        <v>20</v>
      </c>
      <c r="E513" s="7"/>
      <c r="F513" s="17">
        <f>11+8+19+14+1+3+14</f>
        <v>70</v>
      </c>
      <c r="G513" s="17">
        <f>4+3+1+2</f>
        <v>10</v>
      </c>
      <c r="H513" s="17">
        <f>27+62+305+188+8+14+101</f>
        <v>705</v>
      </c>
      <c r="I513" s="16">
        <f>H513/(F513-G513)</f>
        <v>11.75</v>
      </c>
      <c r="J513" s="17">
        <v>54</v>
      </c>
      <c r="K513" s="25">
        <f>21+55+147+96+9+17+61.5</f>
        <v>406.5</v>
      </c>
      <c r="L513" s="25">
        <f>5+20+38+24+4+8</f>
        <v>99</v>
      </c>
      <c r="M513" s="25">
        <f>45+95+234+215+41+67+242</f>
        <v>939</v>
      </c>
      <c r="N513" s="24">
        <f>M513/L513</f>
        <v>9.4848484848484844</v>
      </c>
      <c r="O513" s="23"/>
    </row>
    <row r="514" spans="1:15" x14ac:dyDescent="0.2">
      <c r="A514" s="4">
        <v>681679</v>
      </c>
      <c r="B514" s="35" t="s">
        <v>1325</v>
      </c>
      <c r="C514" s="2" t="s">
        <v>28</v>
      </c>
      <c r="D514" s="8">
        <f>29+4</f>
        <v>33</v>
      </c>
      <c r="E514" s="7">
        <f>2+0</f>
        <v>2</v>
      </c>
      <c r="F514" s="17">
        <f>13+2+17+14+1+11+11+16</f>
        <v>85</v>
      </c>
      <c r="G514" s="17">
        <f>2+1+1+1+0+2</f>
        <v>7</v>
      </c>
      <c r="H514" s="17">
        <f>34+6+135+441+9+407+224+391</f>
        <v>1647</v>
      </c>
      <c r="I514" s="16">
        <f>H514/(F514-G514)</f>
        <v>21.115384615384617</v>
      </c>
      <c r="J514" s="17" t="s">
        <v>1347</v>
      </c>
      <c r="K514" s="25">
        <f>19+2+16+27+0+39</f>
        <v>103</v>
      </c>
      <c r="L514" s="25">
        <f>3+6+0+6</f>
        <v>15</v>
      </c>
      <c r="M514" s="25">
        <f>66+2+46+49+0+185</f>
        <v>348</v>
      </c>
      <c r="N514" s="24">
        <f>M514/L514</f>
        <v>23.2</v>
      </c>
      <c r="O514" s="23"/>
    </row>
    <row r="515" spans="1:15" s="54" customFormat="1" x14ac:dyDescent="0.2">
      <c r="A515" s="4"/>
      <c r="B515" s="34" t="s">
        <v>767</v>
      </c>
      <c r="C515" s="2" t="s">
        <v>125</v>
      </c>
      <c r="D515" s="7">
        <f>0</f>
        <v>0</v>
      </c>
      <c r="E515" s="7"/>
      <c r="F515" s="17">
        <f>1</f>
        <v>1</v>
      </c>
      <c r="G515" s="17">
        <f>0</f>
        <v>0</v>
      </c>
      <c r="H515" s="17">
        <f>0</f>
        <v>0</v>
      </c>
      <c r="I515" s="16">
        <f>H515/(F515-G515)</f>
        <v>0</v>
      </c>
      <c r="J515" s="17">
        <f>0</f>
        <v>0</v>
      </c>
      <c r="K515" s="25">
        <f>16</f>
        <v>16</v>
      </c>
      <c r="L515" s="25">
        <f>5</f>
        <v>5</v>
      </c>
      <c r="M515" s="25">
        <f>70</f>
        <v>70</v>
      </c>
      <c r="N515" s="24">
        <f>M515/L515</f>
        <v>14</v>
      </c>
      <c r="O515" s="23"/>
    </row>
    <row r="516" spans="1:15" x14ac:dyDescent="0.2">
      <c r="A516" s="4"/>
      <c r="B516" s="35" t="s">
        <v>768</v>
      </c>
      <c r="C516" s="2" t="s">
        <v>124</v>
      </c>
      <c r="D516" s="7">
        <v>5</v>
      </c>
      <c r="E516" s="7"/>
      <c r="F516" s="17">
        <v>14</v>
      </c>
      <c r="G516" s="17"/>
      <c r="H516" s="17">
        <v>419</v>
      </c>
      <c r="I516" s="16">
        <f>H516/(F516-G516)</f>
        <v>29.928571428571427</v>
      </c>
      <c r="J516" s="17">
        <v>112</v>
      </c>
      <c r="K516" s="25">
        <v>59</v>
      </c>
      <c r="L516" s="25">
        <v>14</v>
      </c>
      <c r="M516" s="25">
        <v>183</v>
      </c>
      <c r="N516" s="24">
        <f>M516/L516</f>
        <v>13.071428571428571</v>
      </c>
      <c r="O516" s="23"/>
    </row>
    <row r="517" spans="1:15" x14ac:dyDescent="0.2">
      <c r="A517" s="84">
        <v>573138</v>
      </c>
      <c r="B517" s="85" t="s">
        <v>768</v>
      </c>
      <c r="C517" s="2" t="s">
        <v>124</v>
      </c>
      <c r="D517" s="7">
        <f>0</f>
        <v>0</v>
      </c>
      <c r="E517" s="7">
        <f>0</f>
        <v>0</v>
      </c>
      <c r="F517" s="17"/>
      <c r="G517" s="17"/>
      <c r="H517" s="17"/>
      <c r="I517" s="16" t="e">
        <f>H517/(F517-G517)</f>
        <v>#DIV/0!</v>
      </c>
      <c r="J517" s="17"/>
      <c r="K517" s="25"/>
      <c r="L517" s="25"/>
      <c r="M517" s="25"/>
      <c r="N517" s="24" t="e">
        <f>M517/L517</f>
        <v>#DIV/0!</v>
      </c>
      <c r="O517" s="23"/>
    </row>
    <row r="518" spans="1:15" x14ac:dyDescent="0.2">
      <c r="A518" s="84">
        <v>1273828</v>
      </c>
      <c r="B518" s="35" t="s">
        <v>1691</v>
      </c>
      <c r="C518" s="2" t="s">
        <v>1660</v>
      </c>
      <c r="D518" s="7">
        <f>2</f>
        <v>2</v>
      </c>
      <c r="E518" s="7">
        <f>0</f>
        <v>0</v>
      </c>
      <c r="F518" s="17">
        <f>11</f>
        <v>11</v>
      </c>
      <c r="G518" s="17">
        <f>1</f>
        <v>1</v>
      </c>
      <c r="H518" s="17">
        <f>62</f>
        <v>62</v>
      </c>
      <c r="I518" s="16">
        <f>H518/(F518-G518)</f>
        <v>6.2</v>
      </c>
      <c r="J518" s="17">
        <v>23</v>
      </c>
      <c r="K518" s="25">
        <f>49</f>
        <v>49</v>
      </c>
      <c r="L518" s="25">
        <f>5</f>
        <v>5</v>
      </c>
      <c r="M518" s="25">
        <f>146</f>
        <v>146</v>
      </c>
      <c r="N518" s="24">
        <f>M518/L518</f>
        <v>29.2</v>
      </c>
      <c r="O518" s="49" t="s">
        <v>1785</v>
      </c>
    </row>
    <row r="519" spans="1:15" s="54" customFormat="1" x14ac:dyDescent="0.2">
      <c r="A519" s="4"/>
      <c r="B519" s="35" t="s">
        <v>769</v>
      </c>
      <c r="C519" s="2" t="s">
        <v>136</v>
      </c>
      <c r="D519" s="7">
        <v>10</v>
      </c>
      <c r="E519" s="7"/>
      <c r="F519" s="17">
        <v>7</v>
      </c>
      <c r="G519" s="17">
        <v>3</v>
      </c>
      <c r="H519" s="17">
        <v>14</v>
      </c>
      <c r="I519" s="16">
        <f>H519/(F519-G519)</f>
        <v>3.5</v>
      </c>
      <c r="J519" s="17">
        <v>6</v>
      </c>
      <c r="K519" s="25">
        <f>98+10+12+6</f>
        <v>126</v>
      </c>
      <c r="L519" s="25">
        <f>17+1+1</f>
        <v>19</v>
      </c>
      <c r="M519" s="25">
        <f>344+26+36+31</f>
        <v>437</v>
      </c>
      <c r="N519" s="24">
        <f>M519/L519</f>
        <v>23</v>
      </c>
      <c r="O519" s="23"/>
    </row>
    <row r="520" spans="1:15" x14ac:dyDescent="0.2">
      <c r="A520" s="4"/>
      <c r="B520" s="35" t="s">
        <v>770</v>
      </c>
      <c r="C520" s="2" t="s">
        <v>136</v>
      </c>
      <c r="D520" s="7">
        <v>3</v>
      </c>
      <c r="E520" s="7"/>
      <c r="F520" s="17">
        <v>14</v>
      </c>
      <c r="G520" s="17">
        <v>3</v>
      </c>
      <c r="H520" s="17">
        <v>37</v>
      </c>
      <c r="I520" s="16">
        <f>H520/(F520-G520)</f>
        <v>3.3636363636363638</v>
      </c>
      <c r="J520" s="17">
        <v>13</v>
      </c>
      <c r="K520" s="25">
        <v>39</v>
      </c>
      <c r="L520" s="25">
        <v>6</v>
      </c>
      <c r="M520" s="25">
        <v>130</v>
      </c>
      <c r="N520" s="24">
        <f>M520/L520</f>
        <v>21.666666666666668</v>
      </c>
      <c r="O520" s="23"/>
    </row>
    <row r="521" spans="1:15" x14ac:dyDescent="0.2">
      <c r="A521" s="4"/>
      <c r="B521" s="35" t="s">
        <v>771</v>
      </c>
      <c r="C521" s="2" t="s">
        <v>24</v>
      </c>
      <c r="D521" s="7">
        <v>2</v>
      </c>
      <c r="E521" s="7"/>
      <c r="F521" s="17">
        <f>18+6+2</f>
        <v>26</v>
      </c>
      <c r="G521" s="17">
        <v>2</v>
      </c>
      <c r="H521" s="17">
        <f>42+33+2</f>
        <v>77</v>
      </c>
      <c r="I521" s="16">
        <f>H521/(F521-G521)</f>
        <v>3.2083333333333335</v>
      </c>
      <c r="J521" s="17">
        <v>12</v>
      </c>
      <c r="K521" s="25">
        <f>71+10+1</f>
        <v>82</v>
      </c>
      <c r="L521" s="25">
        <f>20+2</f>
        <v>22</v>
      </c>
      <c r="M521" s="25">
        <f>184+38+1</f>
        <v>223</v>
      </c>
      <c r="N521" s="24">
        <f>M521/L521</f>
        <v>10.136363636363637</v>
      </c>
      <c r="O521" s="23"/>
    </row>
    <row r="522" spans="1:15" x14ac:dyDescent="0.2">
      <c r="A522" s="4"/>
      <c r="B522" s="35" t="s">
        <v>772</v>
      </c>
      <c r="C522" s="2" t="s">
        <v>101</v>
      </c>
      <c r="D522" s="7">
        <f>8+18+9+1+13+3+5</f>
        <v>57</v>
      </c>
      <c r="E522" s="7"/>
      <c r="F522" s="17">
        <f>13+12+9+2+9+2+8</f>
        <v>55</v>
      </c>
      <c r="G522" s="17">
        <f>1+2+1+2+1+1</f>
        <v>8</v>
      </c>
      <c r="H522" s="17">
        <f>59+128+117+27+155+9+142</f>
        <v>637</v>
      </c>
      <c r="I522" s="16">
        <f>H522/(F522-G522)</f>
        <v>13.553191489361701</v>
      </c>
      <c r="J522" s="17">
        <v>82</v>
      </c>
      <c r="K522" s="25">
        <f>14+8.2</f>
        <v>22.2</v>
      </c>
      <c r="L522" s="25">
        <v>3</v>
      </c>
      <c r="M522" s="25">
        <f>42+27</f>
        <v>69</v>
      </c>
      <c r="N522" s="24">
        <f>M522/L522</f>
        <v>23</v>
      </c>
      <c r="O522" s="23"/>
    </row>
    <row r="523" spans="1:15" x14ac:dyDescent="0.2">
      <c r="A523" s="4">
        <v>1574769</v>
      </c>
      <c r="B523" s="35" t="s">
        <v>2094</v>
      </c>
      <c r="C523" s="2" t="s">
        <v>2095</v>
      </c>
      <c r="D523" s="7">
        <f>1+0</f>
        <v>1</v>
      </c>
      <c r="E523" s="7">
        <f>0</f>
        <v>0</v>
      </c>
      <c r="F523" s="17">
        <f>1+3</f>
        <v>4</v>
      </c>
      <c r="G523" s="17">
        <f>1+0</f>
        <v>1</v>
      </c>
      <c r="H523" s="17">
        <f>8+28</f>
        <v>36</v>
      </c>
      <c r="I523" s="16">
        <f>H523/(F523-G523)</f>
        <v>12</v>
      </c>
      <c r="J523" s="17">
        <v>16</v>
      </c>
      <c r="K523" s="25">
        <f>7+15.4</f>
        <v>22.4</v>
      </c>
      <c r="L523" s="25">
        <f>1+2</f>
        <v>3</v>
      </c>
      <c r="M523" s="25">
        <f>27+72</f>
        <v>99</v>
      </c>
      <c r="N523" s="24">
        <f>M523/L523</f>
        <v>33</v>
      </c>
      <c r="O523" s="49" t="s">
        <v>1803</v>
      </c>
    </row>
    <row r="524" spans="1:15" x14ac:dyDescent="0.2">
      <c r="A524" s="4">
        <v>2101416</v>
      </c>
      <c r="B524" s="35" t="s">
        <v>2334</v>
      </c>
      <c r="C524" s="2" t="s">
        <v>2335</v>
      </c>
      <c r="D524" s="7">
        <f>0</f>
        <v>0</v>
      </c>
      <c r="E524" s="7">
        <f>0</f>
        <v>0</v>
      </c>
      <c r="F524" s="17">
        <f>1</f>
        <v>1</v>
      </c>
      <c r="G524" s="17">
        <f>0</f>
        <v>0</v>
      </c>
      <c r="H524" s="17">
        <f>1</f>
        <v>1</v>
      </c>
      <c r="I524" s="16">
        <f>H524/(F524-G524)</f>
        <v>1</v>
      </c>
      <c r="J524" s="17">
        <v>1</v>
      </c>
      <c r="K524" s="25"/>
      <c r="L524" s="25"/>
      <c r="M524" s="25"/>
      <c r="N524" s="24" t="e">
        <f>M524/L524</f>
        <v>#DIV/0!</v>
      </c>
      <c r="O524" s="23"/>
    </row>
    <row r="525" spans="1:15" x14ac:dyDescent="0.2">
      <c r="A525" s="4">
        <v>2106275</v>
      </c>
      <c r="B525" s="35" t="s">
        <v>2448</v>
      </c>
      <c r="C525" s="2" t="s">
        <v>2449</v>
      </c>
      <c r="D525" s="7">
        <f>0+1</f>
        <v>1</v>
      </c>
      <c r="E525" s="7">
        <f>0+0</f>
        <v>0</v>
      </c>
      <c r="F525" s="17">
        <f>2+10</f>
        <v>12</v>
      </c>
      <c r="G525" s="17">
        <f>1+1</f>
        <v>2</v>
      </c>
      <c r="H525" s="17">
        <f>2+27</f>
        <v>29</v>
      </c>
      <c r="I525" s="16">
        <f>H525/(F525-G525)</f>
        <v>2.9</v>
      </c>
      <c r="J525" s="17" t="s">
        <v>347</v>
      </c>
      <c r="K525" s="25">
        <f>7+26</f>
        <v>33</v>
      </c>
      <c r="L525" s="25">
        <f>1+3</f>
        <v>4</v>
      </c>
      <c r="M525" s="25">
        <f>22+114</f>
        <v>136</v>
      </c>
      <c r="N525" s="24">
        <f>M525/L525</f>
        <v>34</v>
      </c>
      <c r="O525" s="49" t="s">
        <v>1379</v>
      </c>
    </row>
    <row r="526" spans="1:15" s="5" customFormat="1" x14ac:dyDescent="0.2">
      <c r="A526" s="4"/>
      <c r="B526" s="35" t="s">
        <v>773</v>
      </c>
      <c r="C526" s="2" t="s">
        <v>95</v>
      </c>
      <c r="D526" s="7">
        <v>9</v>
      </c>
      <c r="E526" s="7"/>
      <c r="F526" s="17">
        <v>26</v>
      </c>
      <c r="G526" s="17"/>
      <c r="H526" s="17">
        <v>249</v>
      </c>
      <c r="I526" s="16">
        <f>H526/(F526-G526)</f>
        <v>9.5769230769230766</v>
      </c>
      <c r="J526" s="17">
        <v>40</v>
      </c>
      <c r="K526" s="25">
        <v>159</v>
      </c>
      <c r="L526" s="25">
        <v>30</v>
      </c>
      <c r="M526" s="25">
        <v>404</v>
      </c>
      <c r="N526" s="24">
        <f>M526/L526</f>
        <v>13.466666666666667</v>
      </c>
      <c r="O526" s="23"/>
    </row>
    <row r="527" spans="1:15" s="54" customFormat="1" x14ac:dyDescent="0.2">
      <c r="A527" s="4"/>
      <c r="B527" s="34" t="s">
        <v>774</v>
      </c>
      <c r="C527" s="2" t="s">
        <v>316</v>
      </c>
      <c r="D527" s="7">
        <f>0</f>
        <v>0</v>
      </c>
      <c r="E527" s="7"/>
      <c r="F527" s="17">
        <f>3</f>
        <v>3</v>
      </c>
      <c r="G527" s="17">
        <f>1</f>
        <v>1</v>
      </c>
      <c r="H527" s="17">
        <f>9</f>
        <v>9</v>
      </c>
      <c r="I527" s="16">
        <f>H527/(F527-G527)</f>
        <v>4.5</v>
      </c>
      <c r="J527" s="17">
        <f>7</f>
        <v>7</v>
      </c>
      <c r="K527" s="25">
        <f>15</f>
        <v>15</v>
      </c>
      <c r="L527" s="25">
        <f>2</f>
        <v>2</v>
      </c>
      <c r="M527" s="25">
        <f>91</f>
        <v>91</v>
      </c>
      <c r="N527" s="24">
        <f>M527/L527</f>
        <v>45.5</v>
      </c>
      <c r="O527" s="23"/>
    </row>
    <row r="528" spans="1:15" s="54" customFormat="1" x14ac:dyDescent="0.2">
      <c r="A528" s="4"/>
      <c r="B528" s="35" t="s">
        <v>775</v>
      </c>
      <c r="C528" s="2" t="s">
        <v>10</v>
      </c>
      <c r="D528" s="7">
        <v>7</v>
      </c>
      <c r="E528" s="7"/>
      <c r="F528" s="17">
        <v>17</v>
      </c>
      <c r="G528" s="17">
        <v>4</v>
      </c>
      <c r="H528" s="17">
        <v>118</v>
      </c>
      <c r="I528" s="16">
        <f>H528/(F528-G528)</f>
        <v>9.0769230769230766</v>
      </c>
      <c r="J528" s="17">
        <v>31</v>
      </c>
      <c r="K528" s="25">
        <v>105</v>
      </c>
      <c r="L528" s="25">
        <v>18</v>
      </c>
      <c r="M528" s="25">
        <v>323</v>
      </c>
      <c r="N528" s="24">
        <f>M528/L528</f>
        <v>17.944444444444443</v>
      </c>
      <c r="O528" s="23"/>
    </row>
    <row r="529" spans="1:15" s="54" customFormat="1" x14ac:dyDescent="0.2">
      <c r="A529" s="4"/>
      <c r="B529" s="35" t="s">
        <v>776</v>
      </c>
      <c r="C529" s="2" t="s">
        <v>138</v>
      </c>
      <c r="D529" s="7">
        <v>21</v>
      </c>
      <c r="E529" s="7"/>
      <c r="F529" s="17">
        <v>36</v>
      </c>
      <c r="G529" s="17">
        <v>10</v>
      </c>
      <c r="H529" s="17">
        <v>128</v>
      </c>
      <c r="I529" s="16">
        <f>H529/(F529-G529)</f>
        <v>4.9230769230769234</v>
      </c>
      <c r="J529" s="17">
        <v>18</v>
      </c>
      <c r="K529" s="25">
        <v>2</v>
      </c>
      <c r="L529" s="25">
        <v>1</v>
      </c>
      <c r="M529" s="25">
        <v>8</v>
      </c>
      <c r="N529" s="24">
        <f>M529/L529</f>
        <v>8</v>
      </c>
      <c r="O529" s="23"/>
    </row>
    <row r="530" spans="1:15" s="5" customFormat="1" x14ac:dyDescent="0.2">
      <c r="A530" s="4"/>
      <c r="B530" s="35" t="s">
        <v>777</v>
      </c>
      <c r="C530" s="2" t="s">
        <v>130</v>
      </c>
      <c r="D530" s="8">
        <v>402</v>
      </c>
      <c r="E530" s="7">
        <v>66</v>
      </c>
      <c r="F530" s="17">
        <f>266+5+8+9+10+2+10+10+1</f>
        <v>321</v>
      </c>
      <c r="G530" s="17">
        <f>52+1+1+5+4+1+4+4</f>
        <v>72</v>
      </c>
      <c r="H530" s="17">
        <f>4084+75+110+37+153+16+121+76+4</f>
        <v>4676</v>
      </c>
      <c r="I530" s="16">
        <f>H530/(F530-G530)</f>
        <v>18.779116465863453</v>
      </c>
      <c r="J530" s="17" t="s">
        <v>328</v>
      </c>
      <c r="K530" s="25">
        <f>3+2</f>
        <v>5</v>
      </c>
      <c r="L530" s="25">
        <v>0</v>
      </c>
      <c r="M530" s="25">
        <f>18+3</f>
        <v>21</v>
      </c>
      <c r="N530" s="24" t="e">
        <f>M530/L530</f>
        <v>#DIV/0!</v>
      </c>
      <c r="O530" s="23"/>
    </row>
    <row r="531" spans="1:15" x14ac:dyDescent="0.2">
      <c r="A531" s="4"/>
      <c r="B531" s="35" t="s">
        <v>778</v>
      </c>
      <c r="C531" s="2" t="s">
        <v>19</v>
      </c>
      <c r="D531" s="8">
        <v>4</v>
      </c>
      <c r="E531" s="7"/>
      <c r="F531" s="17">
        <v>14</v>
      </c>
      <c r="G531" s="17">
        <v>1</v>
      </c>
      <c r="H531" s="17">
        <v>59</v>
      </c>
      <c r="I531" s="16">
        <f>H531/(F531-G531)</f>
        <v>4.5384615384615383</v>
      </c>
      <c r="J531" s="17">
        <v>20</v>
      </c>
      <c r="K531" s="25">
        <v>43</v>
      </c>
      <c r="L531" s="25">
        <v>9</v>
      </c>
      <c r="M531" s="25">
        <v>129</v>
      </c>
      <c r="N531" s="24">
        <f>M531/L531</f>
        <v>14.333333333333334</v>
      </c>
      <c r="O531" s="23"/>
    </row>
    <row r="532" spans="1:15" s="5" customFormat="1" x14ac:dyDescent="0.2">
      <c r="A532" s="84">
        <v>798489</v>
      </c>
      <c r="B532" s="85" t="s">
        <v>1542</v>
      </c>
      <c r="C532" s="2" t="s">
        <v>98</v>
      </c>
      <c r="D532" s="7">
        <f>2+2</f>
        <v>4</v>
      </c>
      <c r="E532" s="7">
        <f>0+0</f>
        <v>0</v>
      </c>
      <c r="F532" s="17">
        <f>5+5</f>
        <v>10</v>
      </c>
      <c r="G532" s="17">
        <f>0+0</f>
        <v>0</v>
      </c>
      <c r="H532" s="17">
        <f>103+32</f>
        <v>135</v>
      </c>
      <c r="I532" s="16">
        <f>H532/(F532-G532)</f>
        <v>13.5</v>
      </c>
      <c r="J532" s="17">
        <v>60</v>
      </c>
      <c r="K532" s="25"/>
      <c r="L532" s="25"/>
      <c r="M532" s="25"/>
      <c r="N532" s="24" t="e">
        <f>M532/L532</f>
        <v>#DIV/0!</v>
      </c>
      <c r="O532" s="23"/>
    </row>
    <row r="533" spans="1:15" s="5" customFormat="1" x14ac:dyDescent="0.2">
      <c r="A533" s="64">
        <v>2069335</v>
      </c>
      <c r="B533" s="83" t="s">
        <v>2553</v>
      </c>
      <c r="C533" s="58" t="s">
        <v>66</v>
      </c>
      <c r="D533" s="59">
        <v>1</v>
      </c>
      <c r="E533" s="59">
        <v>0</v>
      </c>
      <c r="F533" s="60">
        <f>11+2</f>
        <v>13</v>
      </c>
      <c r="G533" s="60">
        <v>2</v>
      </c>
      <c r="H533" s="60">
        <f>83+3</f>
        <v>86</v>
      </c>
      <c r="I533" s="61">
        <f>H533/(F533-G533)</f>
        <v>7.8181818181818183</v>
      </c>
      <c r="J533" s="60">
        <v>41</v>
      </c>
      <c r="K533" s="62">
        <v>1</v>
      </c>
      <c r="L533" s="62">
        <v>0</v>
      </c>
      <c r="M533" s="62">
        <v>8</v>
      </c>
      <c r="N533" s="63" t="e">
        <f>M533/L533</f>
        <v>#DIV/0!</v>
      </c>
      <c r="O533" s="81"/>
    </row>
    <row r="534" spans="1:15" x14ac:dyDescent="0.2">
      <c r="A534" s="4">
        <v>1893060</v>
      </c>
      <c r="B534" s="35" t="s">
        <v>2097</v>
      </c>
      <c r="C534" s="2" t="s">
        <v>2096</v>
      </c>
      <c r="D534" s="7">
        <f>0+0</f>
        <v>0</v>
      </c>
      <c r="E534" s="7">
        <f>0</f>
        <v>0</v>
      </c>
      <c r="F534" s="17">
        <f>3+14</f>
        <v>17</v>
      </c>
      <c r="G534" s="17">
        <f>3+6</f>
        <v>9</v>
      </c>
      <c r="H534" s="17">
        <f>3+112</f>
        <v>115</v>
      </c>
      <c r="I534" s="16">
        <f>H534/(F534-G534)</f>
        <v>14.375</v>
      </c>
      <c r="J534" s="17" t="s">
        <v>447</v>
      </c>
      <c r="K534" s="25">
        <f>4.5+34</f>
        <v>38.5</v>
      </c>
      <c r="L534" s="25">
        <f>1+6</f>
        <v>7</v>
      </c>
      <c r="M534" s="25">
        <f>27+166</f>
        <v>193</v>
      </c>
      <c r="N534" s="24">
        <f>M534/L534</f>
        <v>27.571428571428573</v>
      </c>
      <c r="O534" s="49" t="s">
        <v>2029</v>
      </c>
    </row>
    <row r="535" spans="1:15" s="54" customFormat="1" x14ac:dyDescent="0.2">
      <c r="A535" s="4">
        <v>1888554</v>
      </c>
      <c r="B535" s="74" t="s">
        <v>2098</v>
      </c>
      <c r="C535" s="2" t="s">
        <v>2099</v>
      </c>
      <c r="D535" s="7">
        <f>3+3</f>
        <v>6</v>
      </c>
      <c r="E535" s="7">
        <f>0</f>
        <v>0</v>
      </c>
      <c r="F535" s="17">
        <f>9+16</f>
        <v>25</v>
      </c>
      <c r="G535" s="17">
        <f>1+5</f>
        <v>6</v>
      </c>
      <c r="H535" s="17">
        <f>52+100</f>
        <v>152</v>
      </c>
      <c r="I535" s="16">
        <f>H535/(F535-G535)</f>
        <v>8</v>
      </c>
      <c r="J535" s="17" t="s">
        <v>274</v>
      </c>
      <c r="K535" s="25">
        <f>9+9.4</f>
        <v>18.399999999999999</v>
      </c>
      <c r="L535" s="25">
        <f>1+3</f>
        <v>4</v>
      </c>
      <c r="M535" s="25">
        <f>23+41</f>
        <v>64</v>
      </c>
      <c r="N535" s="24">
        <f>M535/L535</f>
        <v>16</v>
      </c>
      <c r="O535" s="49" t="s">
        <v>1791</v>
      </c>
    </row>
    <row r="536" spans="1:15" s="54" customFormat="1" x14ac:dyDescent="0.2">
      <c r="A536" s="84">
        <v>1456970</v>
      </c>
      <c r="B536" s="35" t="s">
        <v>1692</v>
      </c>
      <c r="C536" s="2" t="s">
        <v>1693</v>
      </c>
      <c r="D536" s="7">
        <f>1+0</f>
        <v>1</v>
      </c>
      <c r="E536" s="7">
        <f>1+0</f>
        <v>1</v>
      </c>
      <c r="F536" s="17">
        <f>9+4</f>
        <v>13</v>
      </c>
      <c r="G536" s="17">
        <f>0+0</f>
        <v>0</v>
      </c>
      <c r="H536" s="17">
        <f>28+8</f>
        <v>36</v>
      </c>
      <c r="I536" s="16">
        <f>H536/(F536-G536)</f>
        <v>2.7692307692307692</v>
      </c>
      <c r="J536" s="17">
        <v>11</v>
      </c>
      <c r="K536" s="25">
        <f>17+21</f>
        <v>38</v>
      </c>
      <c r="L536" s="25">
        <f>1+2</f>
        <v>3</v>
      </c>
      <c r="M536" s="25">
        <f>67+64</f>
        <v>131</v>
      </c>
      <c r="N536" s="24">
        <f>M536/L536</f>
        <v>43.666666666666664</v>
      </c>
      <c r="O536" s="49" t="s">
        <v>1645</v>
      </c>
    </row>
    <row r="537" spans="1:15" s="54" customFormat="1" x14ac:dyDescent="0.2">
      <c r="A537" s="84">
        <v>1753171</v>
      </c>
      <c r="B537" s="35" t="s">
        <v>1864</v>
      </c>
      <c r="C537" s="2" t="s">
        <v>1865</v>
      </c>
      <c r="D537" s="7">
        <f>0</f>
        <v>0</v>
      </c>
      <c r="E537" s="7">
        <f>0</f>
        <v>0</v>
      </c>
      <c r="F537" s="17">
        <f>1</f>
        <v>1</v>
      </c>
      <c r="G537" s="17">
        <f>0</f>
        <v>0</v>
      </c>
      <c r="H537" s="17">
        <f>11</f>
        <v>11</v>
      </c>
      <c r="I537" s="16">
        <f>H537/(F537-G537)</f>
        <v>11</v>
      </c>
      <c r="J537" s="17">
        <v>11</v>
      </c>
      <c r="K537" s="25">
        <f>3</f>
        <v>3</v>
      </c>
      <c r="L537" s="25">
        <f>1</f>
        <v>1</v>
      </c>
      <c r="M537" s="25">
        <f>16</f>
        <v>16</v>
      </c>
      <c r="N537" s="24">
        <f>M537/L537</f>
        <v>16</v>
      </c>
      <c r="O537" s="49" t="s">
        <v>1631</v>
      </c>
    </row>
    <row r="538" spans="1:15" s="5" customFormat="1" x14ac:dyDescent="0.2">
      <c r="A538" s="4"/>
      <c r="B538" s="35" t="s">
        <v>779</v>
      </c>
      <c r="C538" s="2" t="s">
        <v>93</v>
      </c>
      <c r="D538" s="7">
        <f>23+1</f>
        <v>24</v>
      </c>
      <c r="E538" s="7"/>
      <c r="F538" s="17">
        <f>53+3</f>
        <v>56</v>
      </c>
      <c r="G538" s="17">
        <v>10</v>
      </c>
      <c r="H538" s="17">
        <f>1561+7</f>
        <v>1568</v>
      </c>
      <c r="I538" s="16">
        <f>H538/(F538-G538)</f>
        <v>34.086956521739133</v>
      </c>
      <c r="J538" s="17">
        <v>101</v>
      </c>
      <c r="K538" s="25">
        <f>552+22</f>
        <v>574</v>
      </c>
      <c r="L538" s="25">
        <f>94+4</f>
        <v>98</v>
      </c>
      <c r="M538" s="25">
        <f>1160+70</f>
        <v>1230</v>
      </c>
      <c r="N538" s="24">
        <f>M538/L538</f>
        <v>12.551020408163266</v>
      </c>
      <c r="O538" s="23"/>
    </row>
    <row r="539" spans="1:15" s="54" customFormat="1" x14ac:dyDescent="0.2">
      <c r="A539" s="4"/>
      <c r="B539" s="35" t="s">
        <v>780</v>
      </c>
      <c r="C539" s="2" t="s">
        <v>22</v>
      </c>
      <c r="D539" s="7">
        <v>14</v>
      </c>
      <c r="E539" s="7"/>
      <c r="F539" s="17">
        <v>13</v>
      </c>
      <c r="G539" s="17">
        <v>6</v>
      </c>
      <c r="H539" s="17">
        <v>435</v>
      </c>
      <c r="I539" s="16">
        <f>H539/(F539-G539)</f>
        <v>62.142857142857146</v>
      </c>
      <c r="J539" s="17" t="s">
        <v>422</v>
      </c>
      <c r="K539" s="25">
        <v>3</v>
      </c>
      <c r="L539" s="25">
        <v>1</v>
      </c>
      <c r="M539" s="25">
        <v>12</v>
      </c>
      <c r="N539" s="24">
        <f>M539/L539</f>
        <v>12</v>
      </c>
      <c r="O539" s="23"/>
    </row>
    <row r="540" spans="1:15" x14ac:dyDescent="0.2">
      <c r="A540" s="4">
        <v>681879</v>
      </c>
      <c r="B540" s="34" t="s">
        <v>782</v>
      </c>
      <c r="C540" s="2" t="s">
        <v>370</v>
      </c>
      <c r="D540" s="7">
        <f>8+0+8+2+0+4+10+0+0</f>
        <v>32</v>
      </c>
      <c r="E540" s="7">
        <f>0+2+2+0</f>
        <v>4</v>
      </c>
      <c r="F540" s="17">
        <f>16+8+12+4+1+9+7+1</f>
        <v>58</v>
      </c>
      <c r="G540" s="17">
        <f>1+2+1+1+0+0+0+1</f>
        <v>6</v>
      </c>
      <c r="H540" s="17">
        <f>360+111+152+45+8+147+162</f>
        <v>985</v>
      </c>
      <c r="I540" s="16">
        <f>H540/(F540-G540)</f>
        <v>18.942307692307693</v>
      </c>
      <c r="J540" s="17" t="s">
        <v>313</v>
      </c>
      <c r="K540" s="25">
        <f>11+0</f>
        <v>11</v>
      </c>
      <c r="L540" s="25">
        <v>1</v>
      </c>
      <c r="M540" s="25">
        <v>42</v>
      </c>
      <c r="N540" s="24">
        <f>M540/L540</f>
        <v>42</v>
      </c>
      <c r="O540" s="23"/>
    </row>
    <row r="541" spans="1:15" s="5" customFormat="1" x14ac:dyDescent="0.2">
      <c r="A541" s="4">
        <v>660250</v>
      </c>
      <c r="B541" s="35" t="s">
        <v>781</v>
      </c>
      <c r="C541" s="2" t="s">
        <v>386</v>
      </c>
      <c r="D541" s="8">
        <f>129+13+24+13+11+3+16+12</f>
        <v>221</v>
      </c>
      <c r="E541" s="7">
        <f>21+6+7+8+4+5+4</f>
        <v>55</v>
      </c>
      <c r="F541" s="17">
        <f>10+1+12+9+2+10+18+11+15+1+13+14+14+11+14+13+10+13+11</f>
        <v>202</v>
      </c>
      <c r="G541" s="17">
        <f>2+2+1+1+3+2+1+2+0+2+0+3+1+2+2+1+1+1</f>
        <v>27</v>
      </c>
      <c r="H541" s="17">
        <f>253+7+219+285+13+352+523+435+236+28+823+322+381+349+222+357+233+289+130</f>
        <v>5457</v>
      </c>
      <c r="I541" s="16">
        <f>H541/(F541-G541)</f>
        <v>31.182857142857141</v>
      </c>
      <c r="J541" s="17">
        <v>263</v>
      </c>
      <c r="K541" s="25">
        <f>62+8+58+103+92+69+40+33+62+79+4+4+7+16+8</f>
        <v>645</v>
      </c>
      <c r="L541" s="25">
        <f>15+9+10+10+21+2+8+21+29+0+0+1+1+0</f>
        <v>127</v>
      </c>
      <c r="M541" s="25">
        <f>78+7+89+160+200+205+99+176+129+328+30+11+23+82+27</f>
        <v>1644</v>
      </c>
      <c r="N541" s="24">
        <f>M541/L541</f>
        <v>12.94488188976378</v>
      </c>
      <c r="O541" s="49" t="s">
        <v>1633</v>
      </c>
    </row>
    <row r="542" spans="1:15" s="54" customFormat="1" x14ac:dyDescent="0.2">
      <c r="A542" s="4">
        <v>890142</v>
      </c>
      <c r="B542" s="35" t="s">
        <v>2100</v>
      </c>
      <c r="C542" s="2" t="s">
        <v>85</v>
      </c>
      <c r="D542" s="7">
        <f>1</f>
        <v>1</v>
      </c>
      <c r="E542" s="7"/>
      <c r="F542" s="17">
        <f>1</f>
        <v>1</v>
      </c>
      <c r="G542" s="17">
        <f>0</f>
        <v>0</v>
      </c>
      <c r="H542" s="17">
        <f>14</f>
        <v>14</v>
      </c>
      <c r="I542" s="16">
        <f>H542/(F542-G542)</f>
        <v>14</v>
      </c>
      <c r="J542" s="17">
        <v>14</v>
      </c>
      <c r="K542" s="25"/>
      <c r="L542" s="25"/>
      <c r="M542" s="25"/>
      <c r="N542" s="24" t="e">
        <f>M542/L542</f>
        <v>#DIV/0!</v>
      </c>
      <c r="O542" s="23"/>
    </row>
    <row r="543" spans="1:15" s="54" customFormat="1" x14ac:dyDescent="0.2">
      <c r="A543" s="4">
        <v>107356</v>
      </c>
      <c r="B543" s="34" t="s">
        <v>1317</v>
      </c>
      <c r="C543" s="2"/>
      <c r="D543" s="7">
        <f>1</f>
        <v>1</v>
      </c>
      <c r="E543" s="7">
        <f>0</f>
        <v>0</v>
      </c>
      <c r="F543" s="17">
        <f>1</f>
        <v>1</v>
      </c>
      <c r="G543" s="17">
        <f>0</f>
        <v>0</v>
      </c>
      <c r="H543" s="17">
        <f>0</f>
        <v>0</v>
      </c>
      <c r="I543" s="16">
        <f>H543/(F543-G543)</f>
        <v>0</v>
      </c>
      <c r="J543" s="17">
        <v>0</v>
      </c>
      <c r="K543" s="25">
        <f>2</f>
        <v>2</v>
      </c>
      <c r="L543" s="25">
        <f>0</f>
        <v>0</v>
      </c>
      <c r="M543" s="25">
        <f>17</f>
        <v>17</v>
      </c>
      <c r="N543" s="24" t="e">
        <f>M543/L543</f>
        <v>#DIV/0!</v>
      </c>
      <c r="O543" s="23"/>
    </row>
    <row r="544" spans="1:15" s="54" customFormat="1" x14ac:dyDescent="0.2">
      <c r="A544" s="4"/>
      <c r="B544" s="35" t="s">
        <v>783</v>
      </c>
      <c r="C544" s="2" t="s">
        <v>11</v>
      </c>
      <c r="D544" s="7"/>
      <c r="E544" s="7"/>
      <c r="F544" s="17">
        <v>10</v>
      </c>
      <c r="G544" s="17">
        <v>1</v>
      </c>
      <c r="H544" s="17">
        <v>163</v>
      </c>
      <c r="I544" s="16">
        <f>H544/(F544-G544)</f>
        <v>18.111111111111111</v>
      </c>
      <c r="J544" s="17">
        <v>54</v>
      </c>
      <c r="K544" s="25">
        <v>4</v>
      </c>
      <c r="L544" s="25">
        <v>0</v>
      </c>
      <c r="M544" s="25">
        <v>33</v>
      </c>
      <c r="N544" s="24" t="e">
        <f>M544/L544</f>
        <v>#DIV/0!</v>
      </c>
      <c r="O544" s="23"/>
    </row>
    <row r="545" spans="1:15" s="54" customFormat="1" x14ac:dyDescent="0.2">
      <c r="A545" s="4"/>
      <c r="B545" s="35" t="s">
        <v>784</v>
      </c>
      <c r="C545" s="2" t="s">
        <v>11</v>
      </c>
      <c r="D545" s="7">
        <v>1</v>
      </c>
      <c r="E545" s="7"/>
      <c r="F545" s="17">
        <v>4</v>
      </c>
      <c r="G545" s="17">
        <v>1</v>
      </c>
      <c r="H545" s="15">
        <v>22</v>
      </c>
      <c r="I545" s="16">
        <f>H545/(F545-G545)</f>
        <v>7.333333333333333</v>
      </c>
      <c r="J545" s="17">
        <v>20</v>
      </c>
      <c r="K545" s="24">
        <v>32</v>
      </c>
      <c r="L545" s="25">
        <v>6</v>
      </c>
      <c r="M545" s="25">
        <v>124</v>
      </c>
      <c r="N545" s="24">
        <f>M545/L545</f>
        <v>20.666666666666668</v>
      </c>
      <c r="O545" s="23"/>
    </row>
    <row r="546" spans="1:15" s="5" customFormat="1" x14ac:dyDescent="0.2">
      <c r="A546" s="4"/>
      <c r="B546" s="35" t="s">
        <v>785</v>
      </c>
      <c r="C546" s="2" t="s">
        <v>9</v>
      </c>
      <c r="D546" s="7"/>
      <c r="E546" s="7"/>
      <c r="F546" s="17"/>
      <c r="G546" s="17"/>
      <c r="H546" s="17"/>
      <c r="I546" s="16" t="e">
        <f>H546/(F546-G546)</f>
        <v>#DIV/0!</v>
      </c>
      <c r="J546" s="17"/>
      <c r="K546" s="25">
        <v>3</v>
      </c>
      <c r="L546" s="25">
        <v>1</v>
      </c>
      <c r="M546" s="25">
        <v>30</v>
      </c>
      <c r="N546" s="24">
        <f>M546/L546</f>
        <v>30</v>
      </c>
      <c r="O546" s="23"/>
    </row>
    <row r="547" spans="1:15" x14ac:dyDescent="0.2">
      <c r="A547" s="64"/>
      <c r="B547" s="65" t="s">
        <v>2688</v>
      </c>
      <c r="C547" s="58" t="s">
        <v>1660</v>
      </c>
      <c r="D547" s="59">
        <v>0</v>
      </c>
      <c r="E547" s="59"/>
      <c r="F547" s="60">
        <v>2</v>
      </c>
      <c r="G547" s="60">
        <v>0</v>
      </c>
      <c r="H547" s="60">
        <v>24</v>
      </c>
      <c r="I547" s="61">
        <f>H547/(F547-G547)</f>
        <v>12</v>
      </c>
      <c r="J547" s="60">
        <v>14</v>
      </c>
      <c r="K547" s="62"/>
      <c r="L547" s="62"/>
      <c r="M547" s="62"/>
      <c r="N547" s="63" t="e">
        <f>M547/L547</f>
        <v>#DIV/0!</v>
      </c>
      <c r="O547" s="66"/>
    </row>
    <row r="548" spans="1:15" x14ac:dyDescent="0.2">
      <c r="A548" s="4"/>
      <c r="B548" s="34" t="s">
        <v>786</v>
      </c>
      <c r="C548" s="2" t="s">
        <v>137</v>
      </c>
      <c r="D548" s="7">
        <f>1</f>
        <v>1</v>
      </c>
      <c r="E548" s="7"/>
      <c r="F548" s="17">
        <f>8</f>
        <v>8</v>
      </c>
      <c r="G548" s="17">
        <f>1</f>
        <v>1</v>
      </c>
      <c r="H548" s="17">
        <f>29</f>
        <v>29</v>
      </c>
      <c r="I548" s="16">
        <f>H548/(F548-G548)</f>
        <v>4.1428571428571432</v>
      </c>
      <c r="J548" s="17">
        <f>9</f>
        <v>9</v>
      </c>
      <c r="K548" s="25">
        <f>9</f>
        <v>9</v>
      </c>
      <c r="L548" s="25">
        <f>0</f>
        <v>0</v>
      </c>
      <c r="M548" s="25">
        <f>39</f>
        <v>39</v>
      </c>
      <c r="N548" s="24" t="e">
        <f>M548/L548</f>
        <v>#DIV/0!</v>
      </c>
      <c r="O548" s="23"/>
    </row>
    <row r="549" spans="1:15" s="6" customFormat="1" x14ac:dyDescent="0.2">
      <c r="A549" s="4"/>
      <c r="B549" s="35" t="s">
        <v>787</v>
      </c>
      <c r="C549" s="2" t="s">
        <v>10</v>
      </c>
      <c r="D549" s="7">
        <v>3</v>
      </c>
      <c r="E549" s="7"/>
      <c r="F549" s="17">
        <v>7</v>
      </c>
      <c r="G549" s="17">
        <v>1</v>
      </c>
      <c r="H549" s="17">
        <v>58</v>
      </c>
      <c r="I549" s="16">
        <f>H549/(F549-G549)</f>
        <v>9.6666666666666661</v>
      </c>
      <c r="J549" s="17">
        <v>20</v>
      </c>
      <c r="K549" s="25"/>
      <c r="L549" s="25"/>
      <c r="M549" s="25"/>
      <c r="N549" s="24" t="e">
        <f>M549/L549</f>
        <v>#DIV/0!</v>
      </c>
      <c r="O549" s="23"/>
    </row>
    <row r="550" spans="1:15" s="54" customFormat="1" x14ac:dyDescent="0.2">
      <c r="A550" s="4"/>
      <c r="B550" s="35" t="s">
        <v>788</v>
      </c>
      <c r="C550" s="2" t="s">
        <v>136</v>
      </c>
      <c r="D550" s="7">
        <f>1+1</f>
        <v>2</v>
      </c>
      <c r="E550" s="7"/>
      <c r="F550" s="17">
        <f>6+5+2</f>
        <v>13</v>
      </c>
      <c r="G550" s="17">
        <v>0</v>
      </c>
      <c r="H550" s="17">
        <f>59+74</f>
        <v>133</v>
      </c>
      <c r="I550" s="16">
        <f>H550/(F550-G550)</f>
        <v>10.23076923076923</v>
      </c>
      <c r="J550" s="17">
        <v>49</v>
      </c>
      <c r="K550" s="25"/>
      <c r="L550" s="25"/>
      <c r="M550" s="25"/>
      <c r="N550" s="24" t="e">
        <f>M550/L550</f>
        <v>#DIV/0!</v>
      </c>
      <c r="O550" s="23"/>
    </row>
    <row r="551" spans="1:15" s="6" customFormat="1" x14ac:dyDescent="0.2">
      <c r="A551" s="4"/>
      <c r="B551" s="35" t="s">
        <v>789</v>
      </c>
      <c r="C551" s="2" t="s">
        <v>98</v>
      </c>
      <c r="D551" s="7">
        <f>4+1</f>
        <v>5</v>
      </c>
      <c r="E551" s="7"/>
      <c r="F551" s="17">
        <f>13+3</f>
        <v>16</v>
      </c>
      <c r="G551" s="17">
        <v>1</v>
      </c>
      <c r="H551" s="17">
        <f>26+2+28</f>
        <v>56</v>
      </c>
      <c r="I551" s="16">
        <f>H551/(F551-G551)</f>
        <v>3.7333333333333334</v>
      </c>
      <c r="J551" s="17">
        <v>11</v>
      </c>
      <c r="K551" s="25">
        <f>13+5</f>
        <v>18</v>
      </c>
      <c r="L551" s="25">
        <v>3</v>
      </c>
      <c r="M551" s="25">
        <f>69+26</f>
        <v>95</v>
      </c>
      <c r="N551" s="24">
        <f>M551/L551</f>
        <v>31.666666666666668</v>
      </c>
      <c r="O551" s="23"/>
    </row>
    <row r="552" spans="1:15" s="54" customFormat="1" x14ac:dyDescent="0.2">
      <c r="A552" s="4"/>
      <c r="B552" s="35" t="s">
        <v>790</v>
      </c>
      <c r="C552" s="2" t="s">
        <v>137</v>
      </c>
      <c r="D552" s="7">
        <f>12+3+2+4+8+1</f>
        <v>30</v>
      </c>
      <c r="E552" s="7"/>
      <c r="F552" s="17">
        <f>50+12+11+11+12+2</f>
        <v>98</v>
      </c>
      <c r="G552" s="17">
        <f>9+2+1</f>
        <v>12</v>
      </c>
      <c r="H552" s="17">
        <f>454+234+169+398+421+27</f>
        <v>1703</v>
      </c>
      <c r="I552" s="16">
        <f>H552/(F552-G552)</f>
        <v>19.802325581395348</v>
      </c>
      <c r="J552" s="17">
        <v>146</v>
      </c>
      <c r="K552" s="25">
        <f>271+89+69+124+81+5</f>
        <v>639</v>
      </c>
      <c r="L552" s="25">
        <f>52+18+12+24+13</f>
        <v>119</v>
      </c>
      <c r="M552" s="25">
        <f>586+177+230+411+280+24</f>
        <v>1708</v>
      </c>
      <c r="N552" s="24">
        <f>M552/L552</f>
        <v>14.352941176470589</v>
      </c>
      <c r="O552" s="23"/>
    </row>
    <row r="553" spans="1:15" s="54" customFormat="1" x14ac:dyDescent="0.2">
      <c r="A553" s="4"/>
      <c r="B553" s="2" t="s">
        <v>791</v>
      </c>
      <c r="C553" s="2" t="s">
        <v>9</v>
      </c>
      <c r="D553" s="7">
        <f>7+7</f>
        <v>14</v>
      </c>
      <c r="E553" s="7"/>
      <c r="F553" s="17">
        <f>29+11</f>
        <v>40</v>
      </c>
      <c r="G553" s="17">
        <f>3+1</f>
        <v>4</v>
      </c>
      <c r="H553" s="17">
        <f>217+75</f>
        <v>292</v>
      </c>
      <c r="I553" s="16">
        <f>H553/(F553-G553)</f>
        <v>8.1111111111111107</v>
      </c>
      <c r="J553" s="17">
        <v>22</v>
      </c>
      <c r="K553" s="25">
        <f>135+6</f>
        <v>141</v>
      </c>
      <c r="L553" s="25">
        <v>20</v>
      </c>
      <c r="M553" s="25">
        <f>553+20</f>
        <v>573</v>
      </c>
      <c r="N553" s="24">
        <f>M553/L553</f>
        <v>28.65</v>
      </c>
      <c r="O553" s="23"/>
    </row>
    <row r="554" spans="1:15" s="5" customFormat="1" x14ac:dyDescent="0.2">
      <c r="A554" s="4"/>
      <c r="B554" s="35" t="s">
        <v>792</v>
      </c>
      <c r="C554" s="2" t="s">
        <v>98</v>
      </c>
      <c r="D554" s="7">
        <v>6</v>
      </c>
      <c r="E554" s="7"/>
      <c r="F554" s="17">
        <v>12</v>
      </c>
      <c r="G554" s="17"/>
      <c r="H554" s="17">
        <v>82</v>
      </c>
      <c r="I554" s="16">
        <f>H554/(F554-G554)</f>
        <v>6.833333333333333</v>
      </c>
      <c r="J554" s="17">
        <v>20</v>
      </c>
      <c r="K554" s="25"/>
      <c r="L554" s="25"/>
      <c r="M554" s="25"/>
      <c r="N554" s="24" t="e">
        <f>M554/L554</f>
        <v>#DIV/0!</v>
      </c>
      <c r="O554" s="23"/>
    </row>
    <row r="555" spans="1:15" x14ac:dyDescent="0.2">
      <c r="A555" s="4"/>
      <c r="B555" s="35" t="s">
        <v>794</v>
      </c>
      <c r="C555" s="2" t="s">
        <v>20</v>
      </c>
      <c r="D555" s="7">
        <v>1</v>
      </c>
      <c r="E555" s="7"/>
      <c r="F555" s="17">
        <v>34</v>
      </c>
      <c r="G555" s="17">
        <v>14</v>
      </c>
      <c r="H555" s="17">
        <v>160</v>
      </c>
      <c r="I555" s="16">
        <f>H555/(F555-G555)</f>
        <v>8</v>
      </c>
      <c r="J555" s="17">
        <v>17</v>
      </c>
      <c r="K555" s="25">
        <v>79</v>
      </c>
      <c r="L555" s="25">
        <v>15</v>
      </c>
      <c r="M555" s="25">
        <v>397</v>
      </c>
      <c r="N555" s="24">
        <f>M555/L555</f>
        <v>26.466666666666665</v>
      </c>
      <c r="O555" s="23"/>
    </row>
    <row r="556" spans="1:15" x14ac:dyDescent="0.2">
      <c r="A556" s="4"/>
      <c r="B556" s="35" t="s">
        <v>793</v>
      </c>
      <c r="C556" s="2" t="s">
        <v>179</v>
      </c>
      <c r="D556" s="8">
        <v>6</v>
      </c>
      <c r="E556" s="7">
        <v>1</v>
      </c>
      <c r="F556" s="17">
        <v>38</v>
      </c>
      <c r="G556" s="17">
        <v>1</v>
      </c>
      <c r="H556" s="17">
        <v>162</v>
      </c>
      <c r="I556" s="16">
        <f>H556/(F556-G556)</f>
        <v>4.3783783783783781</v>
      </c>
      <c r="J556" s="17">
        <v>18</v>
      </c>
      <c r="K556" s="25">
        <v>194.3</v>
      </c>
      <c r="L556" s="25">
        <v>24</v>
      </c>
      <c r="M556" s="25">
        <v>569</v>
      </c>
      <c r="N556" s="24">
        <f>M556/L556</f>
        <v>23.708333333333332</v>
      </c>
      <c r="O556" s="23"/>
    </row>
    <row r="557" spans="1:15" s="5" customFormat="1" x14ac:dyDescent="0.2">
      <c r="A557" s="4"/>
      <c r="B557" s="35" t="s">
        <v>795</v>
      </c>
      <c r="C557" s="2" t="s">
        <v>27</v>
      </c>
      <c r="D557" s="8">
        <v>1</v>
      </c>
      <c r="E557" s="7"/>
      <c r="F557" s="17">
        <f>9+1</f>
        <v>10</v>
      </c>
      <c r="G557" s="17">
        <v>2</v>
      </c>
      <c r="H557" s="17">
        <v>11</v>
      </c>
      <c r="I557" s="16">
        <f>H557/(F557-G557)</f>
        <v>1.375</v>
      </c>
      <c r="J557" s="17">
        <v>4</v>
      </c>
      <c r="K557" s="25">
        <f>26+1</f>
        <v>27</v>
      </c>
      <c r="L557" s="25">
        <v>3</v>
      </c>
      <c r="M557" s="25">
        <f>107+3</f>
        <v>110</v>
      </c>
      <c r="N557" s="24">
        <f>M557/L557</f>
        <v>36.666666666666664</v>
      </c>
      <c r="O557" s="23"/>
    </row>
    <row r="558" spans="1:15" s="54" customFormat="1" x14ac:dyDescent="0.2">
      <c r="A558" s="4"/>
      <c r="B558" s="34" t="s">
        <v>796</v>
      </c>
      <c r="C558" s="2" t="s">
        <v>197</v>
      </c>
      <c r="D558" s="7">
        <v>2</v>
      </c>
      <c r="E558" s="7"/>
      <c r="F558" s="17">
        <v>9</v>
      </c>
      <c r="G558" s="17">
        <v>0</v>
      </c>
      <c r="H558" s="17">
        <v>69</v>
      </c>
      <c r="I558" s="16">
        <f>H558/(F558-G558)</f>
        <v>7.666666666666667</v>
      </c>
      <c r="J558" s="17">
        <v>36</v>
      </c>
      <c r="K558" s="25">
        <v>2</v>
      </c>
      <c r="L558" s="25">
        <v>0</v>
      </c>
      <c r="M558" s="25">
        <v>23</v>
      </c>
      <c r="N558" s="24" t="e">
        <f>M558/L558</f>
        <v>#DIV/0!</v>
      </c>
      <c r="O558" s="23"/>
    </row>
    <row r="559" spans="1:15" s="5" customFormat="1" x14ac:dyDescent="0.2">
      <c r="A559" s="84">
        <v>692572</v>
      </c>
      <c r="B559" s="85" t="s">
        <v>1543</v>
      </c>
      <c r="C559" s="2" t="s">
        <v>59</v>
      </c>
      <c r="D559" s="7">
        <f>4+3+3</f>
        <v>10</v>
      </c>
      <c r="E559" s="7">
        <f>0+0+0</f>
        <v>0</v>
      </c>
      <c r="F559" s="17">
        <f>11+15+15</f>
        <v>41</v>
      </c>
      <c r="G559" s="17">
        <f>2+0+2</f>
        <v>4</v>
      </c>
      <c r="H559" s="17">
        <f>357+477+376</f>
        <v>1210</v>
      </c>
      <c r="I559" s="16">
        <f>H559/(F559-G559)</f>
        <v>32.702702702702702</v>
      </c>
      <c r="J559" s="17">
        <v>108</v>
      </c>
      <c r="K559" s="25"/>
      <c r="L559" s="25"/>
      <c r="M559" s="25"/>
      <c r="N559" s="24" t="e">
        <f>M559/L559</f>
        <v>#DIV/0!</v>
      </c>
      <c r="O559" s="23"/>
    </row>
    <row r="560" spans="1:15" s="6" customFormat="1" x14ac:dyDescent="0.2">
      <c r="A560" s="4"/>
      <c r="B560" s="35" t="s">
        <v>797</v>
      </c>
      <c r="C560" s="2" t="s">
        <v>19</v>
      </c>
      <c r="D560" s="8"/>
      <c r="E560" s="7"/>
      <c r="F560" s="17">
        <v>12</v>
      </c>
      <c r="G560" s="17"/>
      <c r="H560" s="17">
        <v>57</v>
      </c>
      <c r="I560" s="16">
        <f>H560/(F560-G560)</f>
        <v>4.75</v>
      </c>
      <c r="J560" s="17">
        <v>12</v>
      </c>
      <c r="K560" s="25">
        <v>8</v>
      </c>
      <c r="L560" s="25">
        <v>0</v>
      </c>
      <c r="M560" s="25">
        <v>37</v>
      </c>
      <c r="N560" s="24" t="e">
        <f>M560/L560</f>
        <v>#DIV/0!</v>
      </c>
      <c r="O560" s="23"/>
    </row>
    <row r="561" spans="1:15" s="54" customFormat="1" x14ac:dyDescent="0.2">
      <c r="A561" s="4"/>
      <c r="B561" s="35" t="s">
        <v>798</v>
      </c>
      <c r="C561" s="2" t="s">
        <v>10</v>
      </c>
      <c r="D561" s="7">
        <v>3</v>
      </c>
      <c r="E561" s="7"/>
      <c r="F561" s="17">
        <v>8</v>
      </c>
      <c r="G561" s="17">
        <v>3</v>
      </c>
      <c r="H561" s="17">
        <v>51</v>
      </c>
      <c r="I561" s="16">
        <f>H561/(F561-G561)</f>
        <v>10.199999999999999</v>
      </c>
      <c r="J561" s="17">
        <v>31</v>
      </c>
      <c r="K561" s="25">
        <v>9</v>
      </c>
      <c r="L561" s="25">
        <v>1</v>
      </c>
      <c r="M561" s="25">
        <v>26</v>
      </c>
      <c r="N561" s="24">
        <f>M561/L561</f>
        <v>26</v>
      </c>
      <c r="O561" s="23"/>
    </row>
    <row r="562" spans="1:15" s="54" customFormat="1" x14ac:dyDescent="0.2">
      <c r="A562" s="84">
        <v>667091</v>
      </c>
      <c r="B562" s="85" t="s">
        <v>799</v>
      </c>
      <c r="C562" s="2" t="s">
        <v>154</v>
      </c>
      <c r="D562" s="7">
        <f>0</f>
        <v>0</v>
      </c>
      <c r="E562" s="7">
        <f>0</f>
        <v>0</v>
      </c>
      <c r="F562" s="17">
        <f>12</f>
        <v>12</v>
      </c>
      <c r="G562" s="17">
        <f>0</f>
        <v>0</v>
      </c>
      <c r="H562" s="17">
        <f>327</f>
        <v>327</v>
      </c>
      <c r="I562" s="16">
        <f>H562/(F562-G562)</f>
        <v>27.25</v>
      </c>
      <c r="J562" s="17">
        <v>75</v>
      </c>
      <c r="K562" s="25">
        <f>27</f>
        <v>27</v>
      </c>
      <c r="L562" s="25">
        <f>2</f>
        <v>2</v>
      </c>
      <c r="M562" s="25">
        <f>139</f>
        <v>139</v>
      </c>
      <c r="N562" s="24">
        <f>M562/L562</f>
        <v>69.5</v>
      </c>
      <c r="O562" s="49" t="s">
        <v>1379</v>
      </c>
    </row>
    <row r="563" spans="1:15" s="5" customFormat="1" x14ac:dyDescent="0.2">
      <c r="A563" s="4"/>
      <c r="B563" s="35" t="s">
        <v>799</v>
      </c>
      <c r="C563" s="2" t="s">
        <v>387</v>
      </c>
      <c r="D563" s="7">
        <f>4</f>
        <v>4</v>
      </c>
      <c r="E563" s="7"/>
      <c r="F563" s="17">
        <f>13</f>
        <v>13</v>
      </c>
      <c r="G563" s="17">
        <f>0</f>
        <v>0</v>
      </c>
      <c r="H563" s="17">
        <f>229</f>
        <v>229</v>
      </c>
      <c r="I563" s="16">
        <f>H563/(F563-G563)</f>
        <v>17.615384615384617</v>
      </c>
      <c r="J563" s="17">
        <v>83</v>
      </c>
      <c r="K563" s="25">
        <v>4</v>
      </c>
      <c r="L563" s="25">
        <f>0</f>
        <v>0</v>
      </c>
      <c r="M563" s="25">
        <f>15</f>
        <v>15</v>
      </c>
      <c r="N563" s="24" t="e">
        <f>M563/L563</f>
        <v>#DIV/0!</v>
      </c>
      <c r="O563" s="23"/>
    </row>
    <row r="564" spans="1:15" s="54" customFormat="1" x14ac:dyDescent="0.2">
      <c r="A564" s="4"/>
      <c r="B564" s="34" t="s">
        <v>800</v>
      </c>
      <c r="C564" s="2" t="s">
        <v>74</v>
      </c>
      <c r="D564" s="7">
        <f>2+6</f>
        <v>8</v>
      </c>
      <c r="E564" s="7"/>
      <c r="F564" s="17">
        <f>14+13</f>
        <v>27</v>
      </c>
      <c r="G564" s="17">
        <f>2+1</f>
        <v>3</v>
      </c>
      <c r="H564" s="17">
        <f>74+164</f>
        <v>238</v>
      </c>
      <c r="I564" s="16">
        <f>H564/(F564-G564)</f>
        <v>9.9166666666666661</v>
      </c>
      <c r="J564" s="17">
        <v>62</v>
      </c>
      <c r="K564" s="25">
        <f>45+62</f>
        <v>107</v>
      </c>
      <c r="L564" s="25">
        <f>6+11</f>
        <v>17</v>
      </c>
      <c r="M564" s="25">
        <f>115+105</f>
        <v>220</v>
      </c>
      <c r="N564" s="24">
        <f>M564/L564</f>
        <v>12.941176470588236</v>
      </c>
      <c r="O564" s="23"/>
    </row>
    <row r="565" spans="1:15" s="54" customFormat="1" x14ac:dyDescent="0.2">
      <c r="A565" s="4"/>
      <c r="B565" s="35" t="s">
        <v>801</v>
      </c>
      <c r="C565" s="2" t="s">
        <v>70</v>
      </c>
      <c r="D565" s="7">
        <v>2</v>
      </c>
      <c r="E565" s="7"/>
      <c r="F565" s="17">
        <v>4</v>
      </c>
      <c r="G565" s="17"/>
      <c r="H565" s="17">
        <v>10</v>
      </c>
      <c r="I565" s="16">
        <f>H565/(F565-G565)</f>
        <v>2.5</v>
      </c>
      <c r="J565" s="17">
        <v>4</v>
      </c>
      <c r="K565" s="25">
        <v>5</v>
      </c>
      <c r="L565" s="25">
        <v>2</v>
      </c>
      <c r="M565" s="25">
        <v>17</v>
      </c>
      <c r="N565" s="24">
        <f>M565/L565</f>
        <v>8.5</v>
      </c>
      <c r="O565" s="23"/>
    </row>
    <row r="566" spans="1:15" s="54" customFormat="1" x14ac:dyDescent="0.2">
      <c r="A566" s="4"/>
      <c r="B566" s="35" t="s">
        <v>802</v>
      </c>
      <c r="C566" s="2" t="s">
        <v>95</v>
      </c>
      <c r="D566" s="8">
        <v>38</v>
      </c>
      <c r="E566" s="7">
        <v>1</v>
      </c>
      <c r="F566" s="17">
        <v>83</v>
      </c>
      <c r="G566" s="17">
        <v>10</v>
      </c>
      <c r="H566" s="17">
        <v>513</v>
      </c>
      <c r="I566" s="16">
        <f>H566/(F566-G566)</f>
        <v>7.0273972602739727</v>
      </c>
      <c r="J566" s="17">
        <v>29</v>
      </c>
      <c r="K566" s="25">
        <v>26</v>
      </c>
      <c r="L566" s="25">
        <v>2</v>
      </c>
      <c r="M566" s="25">
        <v>94</v>
      </c>
      <c r="N566" s="24">
        <f>M566/L566</f>
        <v>47</v>
      </c>
      <c r="O566" s="23"/>
    </row>
    <row r="567" spans="1:15" s="54" customFormat="1" x14ac:dyDescent="0.2">
      <c r="A567" s="4"/>
      <c r="B567" s="35" t="s">
        <v>803</v>
      </c>
      <c r="C567" s="2" t="s">
        <v>16</v>
      </c>
      <c r="D567" s="7">
        <v>2</v>
      </c>
      <c r="E567" s="7"/>
      <c r="F567" s="17">
        <v>11</v>
      </c>
      <c r="G567" s="17">
        <v>2</v>
      </c>
      <c r="H567" s="17">
        <v>20</v>
      </c>
      <c r="I567" s="16">
        <f>H567/(F567-G567)</f>
        <v>2.2222222222222223</v>
      </c>
      <c r="J567" s="17">
        <v>9</v>
      </c>
      <c r="K567" s="25">
        <v>50</v>
      </c>
      <c r="L567" s="25">
        <v>9</v>
      </c>
      <c r="M567" s="25">
        <v>95</v>
      </c>
      <c r="N567" s="24">
        <f>M567/L567</f>
        <v>10.555555555555555</v>
      </c>
      <c r="O567" s="23"/>
    </row>
    <row r="568" spans="1:15" s="6" customFormat="1" x14ac:dyDescent="0.2">
      <c r="A568" s="4"/>
      <c r="B568" s="34" t="s">
        <v>244</v>
      </c>
      <c r="C568" s="2" t="s">
        <v>236</v>
      </c>
      <c r="D568" s="7">
        <f>2</f>
        <v>2</v>
      </c>
      <c r="E568" s="7"/>
      <c r="F568" s="17">
        <f>3</f>
        <v>3</v>
      </c>
      <c r="G568" s="17">
        <f>1</f>
        <v>1</v>
      </c>
      <c r="H568" s="17">
        <f>29</f>
        <v>29</v>
      </c>
      <c r="I568" s="16">
        <f>H568/(F568-G568)</f>
        <v>14.5</v>
      </c>
      <c r="J568" s="17">
        <v>21</v>
      </c>
      <c r="K568" s="25">
        <f>8</f>
        <v>8</v>
      </c>
      <c r="L568" s="25">
        <f>0</f>
        <v>0</v>
      </c>
      <c r="M568" s="25">
        <f>32</f>
        <v>32</v>
      </c>
      <c r="N568" s="24" t="e">
        <f>M568/L568</f>
        <v>#DIV/0!</v>
      </c>
      <c r="O568" s="23"/>
    </row>
    <row r="569" spans="1:15" s="54" customFormat="1" x14ac:dyDescent="0.2">
      <c r="A569" s="4"/>
      <c r="B569" s="35" t="s">
        <v>804</v>
      </c>
      <c r="C569" s="2" t="s">
        <v>16</v>
      </c>
      <c r="D569" s="7">
        <v>1</v>
      </c>
      <c r="E569" s="7"/>
      <c r="F569" s="17">
        <v>6</v>
      </c>
      <c r="G569" s="17">
        <v>1</v>
      </c>
      <c r="H569" s="17">
        <v>1</v>
      </c>
      <c r="I569" s="16">
        <f>H569/(F569-G569)</f>
        <v>0.2</v>
      </c>
      <c r="J569" s="17">
        <v>1</v>
      </c>
      <c r="K569" s="25">
        <v>9</v>
      </c>
      <c r="L569" s="25">
        <v>1</v>
      </c>
      <c r="M569" s="25">
        <v>34</v>
      </c>
      <c r="N569" s="24">
        <f>M569/L569</f>
        <v>34</v>
      </c>
      <c r="O569" s="23"/>
    </row>
    <row r="570" spans="1:15" s="54" customFormat="1" x14ac:dyDescent="0.2">
      <c r="A570" s="84">
        <v>1615399</v>
      </c>
      <c r="B570" s="35" t="s">
        <v>1694</v>
      </c>
      <c r="C570" s="2" t="s">
        <v>1866</v>
      </c>
      <c r="D570" s="7">
        <f>0+0</f>
        <v>0</v>
      </c>
      <c r="E570" s="7">
        <f>0+0</f>
        <v>0</v>
      </c>
      <c r="F570" s="17">
        <f>2+5</f>
        <v>7</v>
      </c>
      <c r="G570" s="17">
        <f>1+1</f>
        <v>2</v>
      </c>
      <c r="H570" s="17">
        <f>13+46</f>
        <v>59</v>
      </c>
      <c r="I570" s="16">
        <f>H570/(F570-G570)</f>
        <v>11.8</v>
      </c>
      <c r="J570" s="17">
        <v>22</v>
      </c>
      <c r="K570" s="25">
        <f>15+45</f>
        <v>60</v>
      </c>
      <c r="L570" s="25">
        <f>3+13</f>
        <v>16</v>
      </c>
      <c r="M570" s="25">
        <f>26+186</f>
        <v>212</v>
      </c>
      <c r="N570" s="24">
        <f>M570/L570</f>
        <v>13.25</v>
      </c>
      <c r="O570" s="49" t="s">
        <v>2022</v>
      </c>
    </row>
    <row r="571" spans="1:15" x14ac:dyDescent="0.2">
      <c r="A571" s="4"/>
      <c r="B571" s="35" t="s">
        <v>805</v>
      </c>
      <c r="C571" s="2" t="s">
        <v>9</v>
      </c>
      <c r="D571" s="7">
        <v>10</v>
      </c>
      <c r="E571" s="7"/>
      <c r="F571" s="17">
        <v>16</v>
      </c>
      <c r="G571" s="17">
        <v>2</v>
      </c>
      <c r="H571" s="17">
        <v>278</v>
      </c>
      <c r="I571" s="16">
        <f>H571/(F571-G571)</f>
        <v>19.857142857142858</v>
      </c>
      <c r="J571" s="17">
        <v>59</v>
      </c>
      <c r="K571" s="25">
        <v>93</v>
      </c>
      <c r="L571" s="25">
        <v>16</v>
      </c>
      <c r="M571" s="25">
        <v>358</v>
      </c>
      <c r="N571" s="24">
        <f>M571/L571</f>
        <v>22.375</v>
      </c>
      <c r="O571" s="23"/>
    </row>
    <row r="572" spans="1:15" s="5" customFormat="1" x14ac:dyDescent="0.2">
      <c r="A572" s="4"/>
      <c r="B572" s="35" t="s">
        <v>806</v>
      </c>
      <c r="C572" s="2" t="s">
        <v>19</v>
      </c>
      <c r="D572" s="7"/>
      <c r="E572" s="7"/>
      <c r="F572" s="17">
        <v>8</v>
      </c>
      <c r="G572" s="17">
        <v>2</v>
      </c>
      <c r="H572" s="17">
        <v>33</v>
      </c>
      <c r="I572" s="16">
        <f>H572/(F572-G572)</f>
        <v>5.5</v>
      </c>
      <c r="J572" s="17">
        <v>10</v>
      </c>
      <c r="K572" s="25">
        <v>6</v>
      </c>
      <c r="L572" s="25">
        <v>0</v>
      </c>
      <c r="M572" s="25">
        <v>20</v>
      </c>
      <c r="N572" s="24" t="e">
        <f>M572/L572</f>
        <v>#DIV/0!</v>
      </c>
      <c r="O572" s="23"/>
    </row>
    <row r="573" spans="1:15" x14ac:dyDescent="0.2">
      <c r="A573" s="4"/>
      <c r="B573" s="35" t="s">
        <v>807</v>
      </c>
      <c r="C573" s="2" t="s">
        <v>153</v>
      </c>
      <c r="D573" s="7">
        <f>5+4+1</f>
        <v>10</v>
      </c>
      <c r="E573" s="7"/>
      <c r="F573" s="17">
        <f>27+9+4+3</f>
        <v>43</v>
      </c>
      <c r="G573" s="17">
        <f>4+1</f>
        <v>5</v>
      </c>
      <c r="H573" s="17">
        <f>74+112+28+21</f>
        <v>235</v>
      </c>
      <c r="I573" s="16">
        <f>H573/(F573-G573)</f>
        <v>6.1842105263157894</v>
      </c>
      <c r="J573" s="17">
        <v>38</v>
      </c>
      <c r="K573" s="25">
        <f>126+27+2+8</f>
        <v>163</v>
      </c>
      <c r="L573" s="25">
        <f>28+6+1</f>
        <v>35</v>
      </c>
      <c r="M573" s="25">
        <f>499+55+5+15</f>
        <v>574</v>
      </c>
      <c r="N573" s="24">
        <f>M573/L573</f>
        <v>16.399999999999999</v>
      </c>
      <c r="O573" s="23"/>
    </row>
    <row r="574" spans="1:15" s="54" customFormat="1" x14ac:dyDescent="0.2">
      <c r="A574" s="4"/>
      <c r="B574" s="35" t="s">
        <v>809</v>
      </c>
      <c r="C574" s="2" t="s">
        <v>170</v>
      </c>
      <c r="D574" s="7">
        <v>2</v>
      </c>
      <c r="E574" s="7"/>
      <c r="F574" s="17">
        <f>4+10</f>
        <v>14</v>
      </c>
      <c r="G574" s="17">
        <v>3</v>
      </c>
      <c r="H574" s="17">
        <f>35+91</f>
        <v>126</v>
      </c>
      <c r="I574" s="16">
        <f>H574/(F574-G574)</f>
        <v>11.454545454545455</v>
      </c>
      <c r="J574" s="17">
        <v>42</v>
      </c>
      <c r="K574" s="25"/>
      <c r="L574" s="25"/>
      <c r="M574" s="25"/>
      <c r="N574" s="24" t="e">
        <f>M574/L574</f>
        <v>#DIV/0!</v>
      </c>
      <c r="O574" s="23"/>
    </row>
    <row r="575" spans="1:15" s="54" customFormat="1" x14ac:dyDescent="0.2">
      <c r="A575" s="4"/>
      <c r="B575" s="35" t="s">
        <v>808</v>
      </c>
      <c r="C575" s="2" t="s">
        <v>95</v>
      </c>
      <c r="D575" s="7">
        <f>4+1+3+3+2+2+3</f>
        <v>18</v>
      </c>
      <c r="E575" s="7"/>
      <c r="F575" s="17">
        <f>25+6+14+11+7+7+2+11</f>
        <v>83</v>
      </c>
      <c r="G575" s="17">
        <f>5+3+3+2+1+2</f>
        <v>16</v>
      </c>
      <c r="H575" s="17">
        <f>146+25+218+69+75+71+9+131</f>
        <v>744</v>
      </c>
      <c r="I575" s="16">
        <f>H575/(F575-G575)</f>
        <v>11.104477611940299</v>
      </c>
      <c r="J575" s="17">
        <v>64</v>
      </c>
      <c r="K575" s="25">
        <f>191+50+110+148+59+6+66+26+122</f>
        <v>778</v>
      </c>
      <c r="L575" s="25">
        <f>43+20+21+39+11+18+11+9+27</f>
        <v>199</v>
      </c>
      <c r="M575" s="25">
        <f>521+175+252+455+116+169+3+203+112+431</f>
        <v>2437</v>
      </c>
      <c r="N575" s="24">
        <f>M575/L575</f>
        <v>12.246231155778894</v>
      </c>
      <c r="O575" s="23"/>
    </row>
    <row r="576" spans="1:15" x14ac:dyDescent="0.2">
      <c r="A576" s="4"/>
      <c r="B576" s="35" t="s">
        <v>23</v>
      </c>
      <c r="C576" s="2" t="s">
        <v>14</v>
      </c>
      <c r="D576" s="7">
        <v>0</v>
      </c>
      <c r="E576" s="7"/>
      <c r="F576" s="17">
        <v>10</v>
      </c>
      <c r="G576" s="17">
        <v>1</v>
      </c>
      <c r="H576" s="17">
        <v>13</v>
      </c>
      <c r="I576" s="16">
        <f>H576/(F576-G576)</f>
        <v>1.4444444444444444</v>
      </c>
      <c r="J576" s="17">
        <v>7</v>
      </c>
      <c r="K576" s="25">
        <v>42</v>
      </c>
      <c r="L576" s="25">
        <v>5</v>
      </c>
      <c r="M576" s="25">
        <v>190</v>
      </c>
      <c r="N576" s="24">
        <f>M576/L576</f>
        <v>38</v>
      </c>
      <c r="O576" s="23"/>
    </row>
    <row r="577" spans="1:15" s="54" customFormat="1" x14ac:dyDescent="0.2">
      <c r="A577" s="4"/>
      <c r="B577" s="35" t="s">
        <v>810</v>
      </c>
      <c r="C577" s="2" t="s">
        <v>9</v>
      </c>
      <c r="D577" s="7">
        <v>0</v>
      </c>
      <c r="E577" s="7"/>
      <c r="F577" s="17">
        <v>4</v>
      </c>
      <c r="G577" s="17">
        <v>0</v>
      </c>
      <c r="H577" s="17">
        <v>57</v>
      </c>
      <c r="I577" s="16">
        <f>H577/(F577-G577)</f>
        <v>14.25</v>
      </c>
      <c r="J577" s="17">
        <v>51</v>
      </c>
      <c r="K577" s="25">
        <v>18</v>
      </c>
      <c r="L577" s="25">
        <v>4</v>
      </c>
      <c r="M577" s="25">
        <v>55</v>
      </c>
      <c r="N577" s="24">
        <f>M577/L577</f>
        <v>13.75</v>
      </c>
      <c r="O577" s="23"/>
    </row>
    <row r="578" spans="1:15" s="54" customFormat="1" x14ac:dyDescent="0.2">
      <c r="A578" s="4"/>
      <c r="B578" s="35" t="s">
        <v>811</v>
      </c>
      <c r="C578" s="2" t="s">
        <v>21</v>
      </c>
      <c r="D578" s="8">
        <v>55</v>
      </c>
      <c r="E578" s="7">
        <v>7</v>
      </c>
      <c r="F578" s="17">
        <v>69</v>
      </c>
      <c r="G578" s="17">
        <v>30</v>
      </c>
      <c r="H578" s="17">
        <v>90</v>
      </c>
      <c r="I578" s="16">
        <f>H578/(F578-G578)</f>
        <v>2.3076923076923075</v>
      </c>
      <c r="J578" s="17">
        <v>16</v>
      </c>
      <c r="K578" s="25"/>
      <c r="L578" s="25"/>
      <c r="M578" s="25"/>
      <c r="N578" s="24" t="e">
        <f>M578/L578</f>
        <v>#DIV/0!</v>
      </c>
      <c r="O578" s="23"/>
    </row>
    <row r="579" spans="1:15" x14ac:dyDescent="0.2">
      <c r="A579" s="4"/>
      <c r="B579" s="35" t="s">
        <v>812</v>
      </c>
      <c r="C579" s="2" t="s">
        <v>91</v>
      </c>
      <c r="D579" s="7">
        <v>2</v>
      </c>
      <c r="E579" s="7"/>
      <c r="F579" s="17">
        <f>14+1+4</f>
        <v>19</v>
      </c>
      <c r="G579" s="17">
        <v>1</v>
      </c>
      <c r="H579" s="17">
        <f>55+2+9</f>
        <v>66</v>
      </c>
      <c r="I579" s="16">
        <f>H579/(F579-G579)</f>
        <v>3.6666666666666665</v>
      </c>
      <c r="J579" s="17">
        <v>12</v>
      </c>
      <c r="K579" s="25">
        <v>1</v>
      </c>
      <c r="L579" s="25"/>
      <c r="M579" s="25">
        <v>4</v>
      </c>
      <c r="N579" s="24" t="e">
        <f>M579/L579</f>
        <v>#DIV/0!</v>
      </c>
      <c r="O579" s="23"/>
    </row>
    <row r="580" spans="1:15" s="6" customFormat="1" x14ac:dyDescent="0.2">
      <c r="A580" s="4"/>
      <c r="B580" s="4" t="s">
        <v>814</v>
      </c>
      <c r="C580" s="2" t="s">
        <v>199</v>
      </c>
      <c r="D580" s="7">
        <f>0+4+8+4</f>
        <v>16</v>
      </c>
      <c r="E580" s="7"/>
      <c r="F580" s="17">
        <f>10+11+15+10</f>
        <v>46</v>
      </c>
      <c r="G580" s="17">
        <f>1+1+2+0</f>
        <v>4</v>
      </c>
      <c r="H580" s="17">
        <f>14+76+156+64</f>
        <v>310</v>
      </c>
      <c r="I580" s="16">
        <f>H580/(F580-G580)</f>
        <v>7.3809523809523814</v>
      </c>
      <c r="J580" s="17">
        <v>35</v>
      </c>
      <c r="K580" s="25">
        <f>21+58+75+64</f>
        <v>218</v>
      </c>
      <c r="L580" s="25">
        <f>4+11+8+13</f>
        <v>36</v>
      </c>
      <c r="M580" s="25">
        <f>82+181+238+213</f>
        <v>714</v>
      </c>
      <c r="N580" s="24">
        <f>M580/L580</f>
        <v>19.833333333333332</v>
      </c>
      <c r="O580" s="23"/>
    </row>
    <row r="581" spans="1:15" s="6" customFormat="1" x14ac:dyDescent="0.2">
      <c r="A581" s="4"/>
      <c r="B581" s="35" t="s">
        <v>813</v>
      </c>
      <c r="C581" s="2" t="s">
        <v>20</v>
      </c>
      <c r="D581" s="8">
        <v>0</v>
      </c>
      <c r="E581" s="7"/>
      <c r="F581" s="17">
        <v>16</v>
      </c>
      <c r="G581" s="17">
        <v>3</v>
      </c>
      <c r="H581" s="17">
        <v>20</v>
      </c>
      <c r="I581" s="16">
        <f>H581/(F581-G581)</f>
        <v>1.5384615384615385</v>
      </c>
      <c r="J581" s="17"/>
      <c r="K581" s="25">
        <v>16</v>
      </c>
      <c r="L581" s="25">
        <v>2</v>
      </c>
      <c r="M581" s="25">
        <v>55</v>
      </c>
      <c r="N581" s="24">
        <f>M581/L581</f>
        <v>27.5</v>
      </c>
      <c r="O581" s="23"/>
    </row>
    <row r="582" spans="1:15" s="5" customFormat="1" x14ac:dyDescent="0.2">
      <c r="A582" s="4"/>
      <c r="B582" s="35" t="s">
        <v>815</v>
      </c>
      <c r="C582" s="2" t="s">
        <v>172</v>
      </c>
      <c r="D582" s="7">
        <v>49</v>
      </c>
      <c r="E582" s="7"/>
      <c r="F582" s="17">
        <v>170</v>
      </c>
      <c r="G582" s="17">
        <v>23</v>
      </c>
      <c r="H582" s="17">
        <v>3165</v>
      </c>
      <c r="I582" s="16">
        <f>H582/(F582-G582)</f>
        <v>21.530612244897959</v>
      </c>
      <c r="J582" s="17" t="s">
        <v>405</v>
      </c>
      <c r="K582" s="25">
        <v>736</v>
      </c>
      <c r="L582" s="25">
        <v>285</v>
      </c>
      <c r="M582" s="25">
        <v>2161</v>
      </c>
      <c r="N582" s="24">
        <f>M582/L582</f>
        <v>7.5824561403508772</v>
      </c>
      <c r="O582" s="23"/>
    </row>
    <row r="583" spans="1:15" s="5" customFormat="1" x14ac:dyDescent="0.2">
      <c r="A583" s="4"/>
      <c r="B583" s="35" t="s">
        <v>816</v>
      </c>
      <c r="C583" s="2" t="s">
        <v>158</v>
      </c>
      <c r="D583" s="7">
        <v>75</v>
      </c>
      <c r="E583" s="7"/>
      <c r="F583" s="17">
        <v>262</v>
      </c>
      <c r="G583" s="17">
        <v>12</v>
      </c>
      <c r="H583" s="15">
        <v>5000</v>
      </c>
      <c r="I583" s="16">
        <f>H583/(F583-G583)</f>
        <v>20</v>
      </c>
      <c r="J583" s="17" t="s">
        <v>408</v>
      </c>
      <c r="K583" s="25">
        <v>258</v>
      </c>
      <c r="L583" s="25">
        <v>69</v>
      </c>
      <c r="M583" s="25">
        <v>1164</v>
      </c>
      <c r="N583" s="24">
        <f>M583/L583</f>
        <v>16.869565217391305</v>
      </c>
      <c r="O583" s="23"/>
    </row>
    <row r="584" spans="1:15" x14ac:dyDescent="0.2">
      <c r="A584" s="64"/>
      <c r="B584" s="65" t="s">
        <v>2698</v>
      </c>
      <c r="C584" s="58" t="s">
        <v>2697</v>
      </c>
      <c r="D584" s="59">
        <v>0</v>
      </c>
      <c r="E584" s="59"/>
      <c r="F584" s="60">
        <v>5</v>
      </c>
      <c r="G584" s="60">
        <v>1</v>
      </c>
      <c r="H584" s="60">
        <v>18</v>
      </c>
      <c r="I584" s="61">
        <f>H584/(F584-G584)</f>
        <v>4.5</v>
      </c>
      <c r="J584" s="60" t="s">
        <v>268</v>
      </c>
      <c r="K584" s="62">
        <v>8</v>
      </c>
      <c r="L584" s="62">
        <v>1</v>
      </c>
      <c r="M584" s="62">
        <v>44</v>
      </c>
      <c r="N584" s="63">
        <f>M584/L584</f>
        <v>44</v>
      </c>
      <c r="O584" s="66" t="s">
        <v>1386</v>
      </c>
    </row>
    <row r="585" spans="1:15" s="6" customFormat="1" x14ac:dyDescent="0.2">
      <c r="A585" s="64"/>
      <c r="B585" s="83" t="s">
        <v>2765</v>
      </c>
      <c r="C585" s="58" t="s">
        <v>2766</v>
      </c>
      <c r="D585" s="59">
        <v>0</v>
      </c>
      <c r="E585" s="59"/>
      <c r="F585" s="60">
        <v>12</v>
      </c>
      <c r="G585" s="60">
        <v>3</v>
      </c>
      <c r="H585" s="60">
        <v>420</v>
      </c>
      <c r="I585" s="61">
        <f>H585/(F585-G585)</f>
        <v>46.666666666666664</v>
      </c>
      <c r="J585" s="60" t="s">
        <v>328</v>
      </c>
      <c r="K585" s="62">
        <v>99</v>
      </c>
      <c r="L585" s="62">
        <v>14</v>
      </c>
      <c r="M585" s="62">
        <v>261</v>
      </c>
      <c r="N585" s="63">
        <f>M585/L585</f>
        <v>18.642857142857142</v>
      </c>
      <c r="O585" s="66" t="s">
        <v>1809</v>
      </c>
    </row>
    <row r="586" spans="1:15" s="54" customFormat="1" x14ac:dyDescent="0.2">
      <c r="A586" s="4"/>
      <c r="B586" s="35" t="s">
        <v>817</v>
      </c>
      <c r="C586" s="2" t="s">
        <v>19</v>
      </c>
      <c r="D586" s="7">
        <v>2</v>
      </c>
      <c r="E586" s="7"/>
      <c r="F586" s="17">
        <f>1+11+10+2</f>
        <v>24</v>
      </c>
      <c r="G586" s="17">
        <f>3+1</f>
        <v>4</v>
      </c>
      <c r="H586" s="17">
        <f>35+32</f>
        <v>67</v>
      </c>
      <c r="I586" s="16">
        <f>H586/(F586-G586)</f>
        <v>3.35</v>
      </c>
      <c r="J586" s="17">
        <v>12</v>
      </c>
      <c r="K586" s="25">
        <f>2+12+5+2</f>
        <v>21</v>
      </c>
      <c r="L586" s="25">
        <f>1+2</f>
        <v>3</v>
      </c>
      <c r="M586" s="25">
        <f>3+56+11+6</f>
        <v>76</v>
      </c>
      <c r="N586" s="24">
        <f>M586/L586</f>
        <v>25.333333333333332</v>
      </c>
      <c r="O586" s="23"/>
    </row>
    <row r="587" spans="1:15" s="54" customFormat="1" x14ac:dyDescent="0.2">
      <c r="A587" s="4">
        <v>676834</v>
      </c>
      <c r="B587" s="35" t="s">
        <v>818</v>
      </c>
      <c r="C587" s="2" t="s">
        <v>358</v>
      </c>
      <c r="D587" s="7">
        <f>2+1</f>
        <v>3</v>
      </c>
      <c r="E587" s="7">
        <f>0</f>
        <v>0</v>
      </c>
      <c r="F587" s="17">
        <f>7+2</f>
        <v>9</v>
      </c>
      <c r="G587" s="17">
        <f>3+0</f>
        <v>3</v>
      </c>
      <c r="H587" s="17">
        <f>27+18</f>
        <v>45</v>
      </c>
      <c r="I587" s="16">
        <f>H587/(F587-G587)</f>
        <v>7.5</v>
      </c>
      <c r="J587" s="17">
        <v>10</v>
      </c>
      <c r="K587" s="25">
        <f>34+35.4</f>
        <v>69.400000000000006</v>
      </c>
      <c r="L587" s="25">
        <f>3+3</f>
        <v>6</v>
      </c>
      <c r="M587" s="25">
        <f>73+146</f>
        <v>219</v>
      </c>
      <c r="N587" s="24">
        <f>M587/L587</f>
        <v>36.5</v>
      </c>
      <c r="O587" s="49" t="s">
        <v>1370</v>
      </c>
    </row>
    <row r="588" spans="1:15" s="5" customFormat="1" x14ac:dyDescent="0.2">
      <c r="A588" s="84">
        <v>1686812</v>
      </c>
      <c r="B588" s="35" t="s">
        <v>1868</v>
      </c>
      <c r="C588" s="2" t="s">
        <v>1869</v>
      </c>
      <c r="D588" s="7">
        <f>0+0</f>
        <v>0</v>
      </c>
      <c r="E588" s="7">
        <f>0</f>
        <v>0</v>
      </c>
      <c r="F588" s="17">
        <f>6+5</f>
        <v>11</v>
      </c>
      <c r="G588" s="17">
        <f>4+1</f>
        <v>5</v>
      </c>
      <c r="H588" s="17">
        <f>54+33</f>
        <v>87</v>
      </c>
      <c r="I588" s="16">
        <f>H588/(F588-G588)</f>
        <v>14.5</v>
      </c>
      <c r="J588" s="17" t="s">
        <v>399</v>
      </c>
      <c r="K588" s="25">
        <f>15</f>
        <v>15</v>
      </c>
      <c r="L588" s="25">
        <f>6</f>
        <v>6</v>
      </c>
      <c r="M588" s="25">
        <f>67</f>
        <v>67</v>
      </c>
      <c r="N588" s="24">
        <f>M588/L588</f>
        <v>11.166666666666666</v>
      </c>
      <c r="O588" s="49" t="s">
        <v>2023</v>
      </c>
    </row>
    <row r="589" spans="1:15" x14ac:dyDescent="0.2">
      <c r="A589" s="4">
        <v>107368</v>
      </c>
      <c r="B589" s="34" t="s">
        <v>1332</v>
      </c>
      <c r="C589" s="2" t="s">
        <v>1431</v>
      </c>
      <c r="D589" s="7">
        <f>9+10+5+2</f>
        <v>26</v>
      </c>
      <c r="E589" s="7">
        <f>0+0+0</f>
        <v>0</v>
      </c>
      <c r="F589" s="17">
        <f>12+15+12+14</f>
        <v>53</v>
      </c>
      <c r="G589" s="17">
        <f>4+2+3+0</f>
        <v>9</v>
      </c>
      <c r="H589" s="17">
        <f>404+492+357+357</f>
        <v>1610</v>
      </c>
      <c r="I589" s="16">
        <f>H589/(F589-G589)</f>
        <v>36.590909090909093</v>
      </c>
      <c r="J589" s="17">
        <v>94</v>
      </c>
      <c r="K589" s="25">
        <f>119.5+52+53+95.3+(0.4)</f>
        <v>320.2</v>
      </c>
      <c r="L589" s="25">
        <f>18+7+10+16</f>
        <v>51</v>
      </c>
      <c r="M589" s="25">
        <f>395+235+194+302</f>
        <v>1126</v>
      </c>
      <c r="N589" s="24">
        <f>M589/L589</f>
        <v>22.078431372549019</v>
      </c>
      <c r="O589" s="49" t="s">
        <v>1466</v>
      </c>
    </row>
    <row r="590" spans="1:15" s="54" customFormat="1" x14ac:dyDescent="0.2">
      <c r="A590" s="4"/>
      <c r="B590" s="35" t="s">
        <v>819</v>
      </c>
      <c r="C590" s="2" t="s">
        <v>98</v>
      </c>
      <c r="D590" s="7">
        <v>2</v>
      </c>
      <c r="E590" s="7"/>
      <c r="F590" s="17">
        <v>8</v>
      </c>
      <c r="G590" s="17">
        <v>3</v>
      </c>
      <c r="H590" s="17">
        <v>55</v>
      </c>
      <c r="I590" s="16">
        <f>H590/(F590-G590)</f>
        <v>11</v>
      </c>
      <c r="J590" s="17" t="s">
        <v>371</v>
      </c>
      <c r="K590" s="25">
        <v>45</v>
      </c>
      <c r="L590" s="25">
        <v>5</v>
      </c>
      <c r="M590" s="25">
        <v>149</v>
      </c>
      <c r="N590" s="24">
        <f>M590/L590</f>
        <v>29.8</v>
      </c>
      <c r="O590" s="23"/>
    </row>
    <row r="591" spans="1:15" x14ac:dyDescent="0.2">
      <c r="A591" s="64">
        <v>768153</v>
      </c>
      <c r="B591" s="65" t="s">
        <v>1870</v>
      </c>
      <c r="C591" s="58" t="s">
        <v>1871</v>
      </c>
      <c r="D591" s="59">
        <f>0+0</f>
        <v>0</v>
      </c>
      <c r="E591" s="59">
        <f>0+0</f>
        <v>0</v>
      </c>
      <c r="F591" s="60">
        <f>9+8+11</f>
        <v>28</v>
      </c>
      <c r="G591" s="60">
        <f>2+2+1</f>
        <v>5</v>
      </c>
      <c r="H591" s="60">
        <f>188+24+133</f>
        <v>345</v>
      </c>
      <c r="I591" s="61">
        <f>H591/(F591-G591)</f>
        <v>15</v>
      </c>
      <c r="J591" s="60">
        <f>50</f>
        <v>50</v>
      </c>
      <c r="K591" s="62">
        <v>0</v>
      </c>
      <c r="L591" s="62">
        <v>0</v>
      </c>
      <c r="M591" s="62">
        <v>0</v>
      </c>
      <c r="N591" s="63" t="e">
        <f>M591/L591</f>
        <v>#DIV/0!</v>
      </c>
      <c r="O591" s="81"/>
    </row>
    <row r="592" spans="1:15" s="5" customFormat="1" x14ac:dyDescent="0.2">
      <c r="A592" s="64"/>
      <c r="B592" s="65" t="s">
        <v>2775</v>
      </c>
      <c r="C592" s="58" t="s">
        <v>2776</v>
      </c>
      <c r="D592" s="59">
        <f>0</f>
        <v>0</v>
      </c>
      <c r="E592" s="59"/>
      <c r="F592" s="60">
        <f>8</f>
        <v>8</v>
      </c>
      <c r="G592" s="60">
        <f>1</f>
        <v>1</v>
      </c>
      <c r="H592" s="60">
        <f>7</f>
        <v>7</v>
      </c>
      <c r="I592" s="61">
        <f>H592/(F592-G592)</f>
        <v>1</v>
      </c>
      <c r="J592" s="60" t="s">
        <v>271</v>
      </c>
      <c r="K592" s="62">
        <f>14</f>
        <v>14</v>
      </c>
      <c r="L592" s="62">
        <f>3</f>
        <v>3</v>
      </c>
      <c r="M592" s="62">
        <f>86</f>
        <v>86</v>
      </c>
      <c r="N592" s="63">
        <f>M592/L592</f>
        <v>28.666666666666668</v>
      </c>
      <c r="O592" s="66" t="s">
        <v>1503</v>
      </c>
    </row>
    <row r="593" spans="1:15" x14ac:dyDescent="0.2">
      <c r="A593" s="4"/>
      <c r="B593" s="34" t="s">
        <v>820</v>
      </c>
      <c r="C593" s="2" t="s">
        <v>351</v>
      </c>
      <c r="D593" s="7">
        <f>0</f>
        <v>0</v>
      </c>
      <c r="E593" s="7"/>
      <c r="F593" s="17"/>
      <c r="G593" s="17"/>
      <c r="H593" s="17"/>
      <c r="I593" s="16" t="e">
        <f>H593/(F593-G593)</f>
        <v>#DIV/0!</v>
      </c>
      <c r="J593" s="17"/>
      <c r="K593" s="25"/>
      <c r="L593" s="25"/>
      <c r="M593" s="25"/>
      <c r="N593" s="24" t="e">
        <f>M593/L593</f>
        <v>#DIV/0!</v>
      </c>
      <c r="O593" s="23"/>
    </row>
    <row r="594" spans="1:15" s="54" customFormat="1" x14ac:dyDescent="0.2">
      <c r="A594" s="4"/>
      <c r="B594" s="35" t="s">
        <v>821</v>
      </c>
      <c r="C594" s="2" t="s">
        <v>138</v>
      </c>
      <c r="D594" s="8">
        <v>42</v>
      </c>
      <c r="E594" s="7">
        <v>1</v>
      </c>
      <c r="F594" s="17">
        <f>81+9+6+1+1</f>
        <v>98</v>
      </c>
      <c r="G594" s="17">
        <v>6</v>
      </c>
      <c r="H594" s="17">
        <f>1604+161+45+32</f>
        <v>1842</v>
      </c>
      <c r="I594" s="16">
        <f>H594/(F594-G594)</f>
        <v>20.021739130434781</v>
      </c>
      <c r="J594" s="17">
        <v>114</v>
      </c>
      <c r="K594" s="25">
        <v>81</v>
      </c>
      <c r="L594" s="25">
        <v>14</v>
      </c>
      <c r="M594" s="25">
        <v>311</v>
      </c>
      <c r="N594" s="24">
        <f>M594/L594</f>
        <v>22.214285714285715</v>
      </c>
      <c r="O594" s="23"/>
    </row>
    <row r="595" spans="1:15" x14ac:dyDescent="0.2">
      <c r="A595" s="4"/>
      <c r="B595" s="35" t="s">
        <v>822</v>
      </c>
      <c r="C595" s="2" t="s">
        <v>50</v>
      </c>
      <c r="D595" s="8">
        <f>4+3+2+3+2</f>
        <v>14</v>
      </c>
      <c r="E595" s="7"/>
      <c r="F595" s="17">
        <f>15+13+11+9+9</f>
        <v>57</v>
      </c>
      <c r="G595" s="17">
        <f>4+2+3+1+1</f>
        <v>11</v>
      </c>
      <c r="H595" s="17">
        <f>69+119+105+79+48</f>
        <v>420</v>
      </c>
      <c r="I595" s="16">
        <f>H595/(F595-G595)</f>
        <v>9.1304347826086953</v>
      </c>
      <c r="J595" s="17">
        <v>44</v>
      </c>
      <c r="K595" s="25">
        <f>64+53+43+53+65</f>
        <v>278</v>
      </c>
      <c r="L595" s="25">
        <f>3+19+8+8+16</f>
        <v>54</v>
      </c>
      <c r="M595" s="25">
        <f>276+289+184+233+253</f>
        <v>1235</v>
      </c>
      <c r="N595" s="24">
        <f>M595/L595</f>
        <v>22.87037037037037</v>
      </c>
      <c r="O595" s="23"/>
    </row>
    <row r="596" spans="1:15" s="5" customFormat="1" x14ac:dyDescent="0.2">
      <c r="A596" s="4"/>
      <c r="B596" s="34" t="s">
        <v>823</v>
      </c>
      <c r="C596" s="2" t="s">
        <v>234</v>
      </c>
      <c r="D596" s="7">
        <f>0</f>
        <v>0</v>
      </c>
      <c r="E596" s="7"/>
      <c r="F596" s="17">
        <f>2</f>
        <v>2</v>
      </c>
      <c r="G596" s="17">
        <f>0</f>
        <v>0</v>
      </c>
      <c r="H596" s="17">
        <f>66</f>
        <v>66</v>
      </c>
      <c r="I596" s="16">
        <f>H596/(F596-G596)</f>
        <v>33</v>
      </c>
      <c r="J596" s="17">
        <v>49</v>
      </c>
      <c r="K596" s="25">
        <f>0</f>
        <v>0</v>
      </c>
      <c r="L596" s="25">
        <f>0</f>
        <v>0</v>
      </c>
      <c r="M596" s="25">
        <f>0</f>
        <v>0</v>
      </c>
      <c r="N596" s="24" t="e">
        <f>M596/L596</f>
        <v>#DIV/0!</v>
      </c>
      <c r="O596" s="23"/>
    </row>
    <row r="597" spans="1:15" s="54" customFormat="1" x14ac:dyDescent="0.2">
      <c r="A597" s="84">
        <v>1565099</v>
      </c>
      <c r="B597" s="85" t="s">
        <v>1544</v>
      </c>
      <c r="C597" s="2" t="s">
        <v>1548</v>
      </c>
      <c r="D597" s="7">
        <f>1+1+1</f>
        <v>3</v>
      </c>
      <c r="E597" s="7">
        <f>0+0+0</f>
        <v>0</v>
      </c>
      <c r="F597" s="17">
        <f>7+2+9</f>
        <v>18</v>
      </c>
      <c r="G597" s="17">
        <f>1+1+0</f>
        <v>2</v>
      </c>
      <c r="H597" s="17">
        <f>352+54+178</f>
        <v>584</v>
      </c>
      <c r="I597" s="16">
        <f>H597/(F597-G597)</f>
        <v>36.5</v>
      </c>
      <c r="J597" s="17" t="s">
        <v>1613</v>
      </c>
      <c r="K597" s="25">
        <f>14+3</f>
        <v>17</v>
      </c>
      <c r="L597" s="25">
        <f>3+1</f>
        <v>4</v>
      </c>
      <c r="M597" s="25">
        <f>66+25</f>
        <v>91</v>
      </c>
      <c r="N597" s="24">
        <f>M597/L597</f>
        <v>22.75</v>
      </c>
      <c r="O597" s="49" t="s">
        <v>1370</v>
      </c>
    </row>
    <row r="598" spans="1:15" x14ac:dyDescent="0.2">
      <c r="A598" s="64"/>
      <c r="B598" s="65" t="s">
        <v>2773</v>
      </c>
      <c r="C598" s="58" t="s">
        <v>2774</v>
      </c>
      <c r="D598" s="59">
        <f>9</f>
        <v>9</v>
      </c>
      <c r="E598" s="59"/>
      <c r="F598" s="60">
        <f>16</f>
        <v>16</v>
      </c>
      <c r="G598" s="60">
        <f>4</f>
        <v>4</v>
      </c>
      <c r="H598" s="60">
        <f>177</f>
        <v>177</v>
      </c>
      <c r="I598" s="61">
        <f>H598/(F598-G598)</f>
        <v>14.75</v>
      </c>
      <c r="J598" s="60" t="s">
        <v>305</v>
      </c>
      <c r="K598" s="62">
        <f>35</f>
        <v>35</v>
      </c>
      <c r="L598" s="62">
        <f>3</f>
        <v>3</v>
      </c>
      <c r="M598" s="62">
        <f>188</f>
        <v>188</v>
      </c>
      <c r="N598" s="63">
        <f>M598/L598</f>
        <v>62.666666666666664</v>
      </c>
      <c r="O598" s="66" t="s">
        <v>1367</v>
      </c>
    </row>
    <row r="599" spans="1:15" s="54" customFormat="1" x14ac:dyDescent="0.2">
      <c r="A599" s="64"/>
      <c r="B599" s="83" t="s">
        <v>2656</v>
      </c>
      <c r="C599" s="58" t="s">
        <v>2359</v>
      </c>
      <c r="D599" s="59">
        <v>2</v>
      </c>
      <c r="E599" s="59"/>
      <c r="F599" s="60">
        <v>7</v>
      </c>
      <c r="G599" s="60">
        <v>1</v>
      </c>
      <c r="H599" s="60">
        <v>121</v>
      </c>
      <c r="I599" s="61">
        <f>H599/(F599-G599)</f>
        <v>20.166666666666668</v>
      </c>
      <c r="J599" s="60" t="s">
        <v>407</v>
      </c>
      <c r="K599" s="62">
        <v>21.2</v>
      </c>
      <c r="L599" s="62">
        <v>6</v>
      </c>
      <c r="M599" s="62">
        <v>100</v>
      </c>
      <c r="N599" s="63">
        <f>M599/L599</f>
        <v>16.666666666666668</v>
      </c>
      <c r="O599" s="66" t="s">
        <v>1810</v>
      </c>
    </row>
    <row r="600" spans="1:15" x14ac:dyDescent="0.2">
      <c r="A600" s="4"/>
      <c r="B600" s="34" t="s">
        <v>825</v>
      </c>
      <c r="C600" s="2" t="s">
        <v>229</v>
      </c>
      <c r="D600" s="7">
        <f>2+5</f>
        <v>7</v>
      </c>
      <c r="E600" s="7"/>
      <c r="F600" s="17">
        <f>12+10</f>
        <v>22</v>
      </c>
      <c r="G600" s="17">
        <f>5+1</f>
        <v>6</v>
      </c>
      <c r="H600" s="17">
        <f>29+83</f>
        <v>112</v>
      </c>
      <c r="I600" s="16">
        <f>H600/(F600-G600)</f>
        <v>7</v>
      </c>
      <c r="J600" s="17">
        <v>36</v>
      </c>
      <c r="K600" s="25">
        <f>36+35</f>
        <v>71</v>
      </c>
      <c r="L600" s="25">
        <f>3+11</f>
        <v>14</v>
      </c>
      <c r="M600" s="25">
        <f>197+143</f>
        <v>340</v>
      </c>
      <c r="N600" s="24">
        <f>M600/L600</f>
        <v>24.285714285714285</v>
      </c>
      <c r="O600" s="23"/>
    </row>
    <row r="601" spans="1:15" s="54" customFormat="1" x14ac:dyDescent="0.2">
      <c r="A601" s="4"/>
      <c r="B601" s="35" t="s">
        <v>824</v>
      </c>
      <c r="C601" s="2" t="s">
        <v>185</v>
      </c>
      <c r="D601" s="7">
        <v>2</v>
      </c>
      <c r="E601" s="7"/>
      <c r="F601" s="17">
        <v>7</v>
      </c>
      <c r="G601" s="17">
        <v>0</v>
      </c>
      <c r="H601" s="17">
        <v>19</v>
      </c>
      <c r="I601" s="16">
        <f>H601/(F601-G601)</f>
        <v>2.7142857142857144</v>
      </c>
      <c r="J601" s="17">
        <v>10</v>
      </c>
      <c r="K601" s="25">
        <v>31</v>
      </c>
      <c r="L601" s="25">
        <v>9</v>
      </c>
      <c r="M601" s="25">
        <v>93</v>
      </c>
      <c r="N601" s="24">
        <f>M601/L601</f>
        <v>10.333333333333334</v>
      </c>
      <c r="O601" s="23"/>
    </row>
    <row r="602" spans="1:15" s="54" customFormat="1" x14ac:dyDescent="0.2">
      <c r="A602" s="4">
        <v>2076684</v>
      </c>
      <c r="B602" s="35" t="s">
        <v>2336</v>
      </c>
      <c r="C602" s="2" t="s">
        <v>2337</v>
      </c>
      <c r="D602" s="7">
        <f>1</f>
        <v>1</v>
      </c>
      <c r="E602" s="7">
        <f>0</f>
        <v>0</v>
      </c>
      <c r="F602" s="17">
        <f>7</f>
        <v>7</v>
      </c>
      <c r="G602" s="17">
        <f>3</f>
        <v>3</v>
      </c>
      <c r="H602" s="17">
        <f>15</f>
        <v>15</v>
      </c>
      <c r="I602" s="16">
        <f>H602/(F602-G602)</f>
        <v>3.75</v>
      </c>
      <c r="J602" s="17" t="s">
        <v>289</v>
      </c>
      <c r="K602" s="25">
        <f>44</f>
        <v>44</v>
      </c>
      <c r="L602" s="25">
        <f>4</f>
        <v>4</v>
      </c>
      <c r="M602" s="25">
        <f>187</f>
        <v>187</v>
      </c>
      <c r="N602" s="24">
        <f>M602/L602</f>
        <v>46.75</v>
      </c>
      <c r="O602" s="49" t="s">
        <v>2460</v>
      </c>
    </row>
    <row r="603" spans="1:15" s="5" customFormat="1" x14ac:dyDescent="0.2">
      <c r="A603" s="4">
        <v>1898108</v>
      </c>
      <c r="B603" s="35" t="s">
        <v>2459</v>
      </c>
      <c r="C603" s="2" t="s">
        <v>2101</v>
      </c>
      <c r="D603" s="7">
        <f>0+1</f>
        <v>1</v>
      </c>
      <c r="E603" s="7">
        <f>0</f>
        <v>0</v>
      </c>
      <c r="F603" s="17">
        <f>9+15</f>
        <v>24</v>
      </c>
      <c r="G603" s="17">
        <f>2+1</f>
        <v>3</v>
      </c>
      <c r="H603" s="17">
        <f>41+256</f>
        <v>297</v>
      </c>
      <c r="I603" s="16">
        <f>H603/(F603-G603)</f>
        <v>14.142857142857142</v>
      </c>
      <c r="J603" s="17">
        <v>51</v>
      </c>
      <c r="K603" s="25">
        <f>33+44.1</f>
        <v>77.099999999999994</v>
      </c>
      <c r="L603" s="25">
        <f>8+10</f>
        <v>18</v>
      </c>
      <c r="M603" s="25">
        <f>106+135</f>
        <v>241</v>
      </c>
      <c r="N603" s="24">
        <f>M603/L603</f>
        <v>13.388888888888889</v>
      </c>
      <c r="O603" s="49" t="s">
        <v>2016</v>
      </c>
    </row>
    <row r="604" spans="1:15" x14ac:dyDescent="0.2">
      <c r="A604" s="4">
        <v>2076608</v>
      </c>
      <c r="B604" s="35" t="s">
        <v>2338</v>
      </c>
      <c r="C604" s="2" t="s">
        <v>1714</v>
      </c>
      <c r="D604" s="7">
        <f>1</f>
        <v>1</v>
      </c>
      <c r="E604" s="7">
        <f>0</f>
        <v>0</v>
      </c>
      <c r="F604" s="17">
        <f>12</f>
        <v>12</v>
      </c>
      <c r="G604" s="17">
        <f>1</f>
        <v>1</v>
      </c>
      <c r="H604" s="17">
        <f>110</f>
        <v>110</v>
      </c>
      <c r="I604" s="16">
        <f>H604/(F604-G604)</f>
        <v>10</v>
      </c>
      <c r="J604" s="17">
        <v>29</v>
      </c>
      <c r="K604" s="25">
        <f>10.2</f>
        <v>10.199999999999999</v>
      </c>
      <c r="L604" s="25">
        <f>1</f>
        <v>1</v>
      </c>
      <c r="M604" s="25">
        <f>95</f>
        <v>95</v>
      </c>
      <c r="N604" s="24">
        <f>M604/L604</f>
        <v>95</v>
      </c>
      <c r="O604" s="49" t="s">
        <v>1639</v>
      </c>
    </row>
    <row r="605" spans="1:15" s="54" customFormat="1" x14ac:dyDescent="0.2">
      <c r="A605" s="4"/>
      <c r="B605" s="35" t="s">
        <v>826</v>
      </c>
      <c r="C605" s="2" t="s">
        <v>91</v>
      </c>
      <c r="D605" s="8">
        <v>99</v>
      </c>
      <c r="E605" s="7">
        <v>3</v>
      </c>
      <c r="F605" s="17">
        <f>81+12+10+1+10+2</f>
        <v>116</v>
      </c>
      <c r="G605" s="17">
        <f>8+1+1+1</f>
        <v>11</v>
      </c>
      <c r="H605" s="17">
        <f>1250+166+168+40+133+4</f>
        <v>1761</v>
      </c>
      <c r="I605" s="16">
        <f>H605/(F605-G605)</f>
        <v>16.771428571428572</v>
      </c>
      <c r="J605" s="17" t="s">
        <v>423</v>
      </c>
      <c r="K605" s="25">
        <v>47</v>
      </c>
      <c r="L605" s="25">
        <v>6</v>
      </c>
      <c r="M605" s="25">
        <v>121</v>
      </c>
      <c r="N605" s="24">
        <f>M605/L605</f>
        <v>20.166666666666668</v>
      </c>
      <c r="O605" s="23"/>
    </row>
    <row r="606" spans="1:15" s="54" customFormat="1" x14ac:dyDescent="0.2">
      <c r="A606" s="4"/>
      <c r="B606" s="35" t="s">
        <v>827</v>
      </c>
      <c r="C606" s="2" t="s">
        <v>15</v>
      </c>
      <c r="D606" s="7">
        <v>11</v>
      </c>
      <c r="E606" s="7"/>
      <c r="F606" s="17">
        <v>24</v>
      </c>
      <c r="G606" s="17">
        <v>4</v>
      </c>
      <c r="H606" s="17">
        <v>213</v>
      </c>
      <c r="I606" s="16">
        <f>H606/(F606-G606)</f>
        <v>10.65</v>
      </c>
      <c r="J606" s="17">
        <v>27</v>
      </c>
      <c r="K606" s="25">
        <v>0</v>
      </c>
      <c r="L606" s="25">
        <v>0</v>
      </c>
      <c r="M606" s="25">
        <v>0</v>
      </c>
      <c r="N606" s="24" t="e">
        <f>M606/L606</f>
        <v>#DIV/0!</v>
      </c>
      <c r="O606" s="23"/>
    </row>
    <row r="607" spans="1:15" s="54" customFormat="1" x14ac:dyDescent="0.2">
      <c r="A607" s="4"/>
      <c r="B607" s="35" t="s">
        <v>828</v>
      </c>
      <c r="C607" s="2" t="s">
        <v>139</v>
      </c>
      <c r="D607" s="7">
        <v>0</v>
      </c>
      <c r="E607" s="7"/>
      <c r="F607" s="17">
        <f>3+10</f>
        <v>13</v>
      </c>
      <c r="G607" s="17">
        <f>2+1</f>
        <v>3</v>
      </c>
      <c r="H607" s="17">
        <f>7+49</f>
        <v>56</v>
      </c>
      <c r="I607" s="16">
        <f>H607/(F607-G607)</f>
        <v>5.6</v>
      </c>
      <c r="J607" s="17">
        <v>19</v>
      </c>
      <c r="K607" s="25">
        <v>4</v>
      </c>
      <c r="L607" s="25">
        <v>0</v>
      </c>
      <c r="M607" s="25">
        <v>44</v>
      </c>
      <c r="N607" s="24" t="e">
        <f>M607/L607</f>
        <v>#DIV/0!</v>
      </c>
      <c r="O607" s="23"/>
    </row>
    <row r="608" spans="1:15" s="5" customFormat="1" x14ac:dyDescent="0.2">
      <c r="A608" s="4"/>
      <c r="B608" s="35" t="s">
        <v>829</v>
      </c>
      <c r="C608" s="2" t="s">
        <v>86</v>
      </c>
      <c r="D608" s="7">
        <f>33+1+1+5+2+1+1+2+2+7</f>
        <v>55</v>
      </c>
      <c r="E608" s="7"/>
      <c r="F608" s="17">
        <f>70+8+1+1+6+1+8+5+2+4+2+4+2+2+8+3</f>
        <v>127</v>
      </c>
      <c r="G608" s="17">
        <f>17+1+1+1+3+1</f>
        <v>24</v>
      </c>
      <c r="H608" s="17">
        <f>958+170+2+1+53+145+113+12+43+4+28+26+15+122+17</f>
        <v>1709</v>
      </c>
      <c r="I608" s="16">
        <f>H608/(F608-G608)</f>
        <v>16.592233009708739</v>
      </c>
      <c r="J608" s="17">
        <v>63</v>
      </c>
      <c r="K608" s="25">
        <f>328+79+4+53+91+23+17+10+30+10+4+11+8</f>
        <v>668</v>
      </c>
      <c r="L608" s="25">
        <f>64+21+1+15+13+4+1+2+3+5+1</f>
        <v>130</v>
      </c>
      <c r="M608" s="25">
        <f>577+164+24+127+272+106+40+42+173+19+13+45+29</f>
        <v>1631</v>
      </c>
      <c r="N608" s="24">
        <f>M608/L608</f>
        <v>12.546153846153846</v>
      </c>
      <c r="O608" s="23"/>
    </row>
    <row r="609" spans="1:15" s="54" customFormat="1" x14ac:dyDescent="0.2">
      <c r="A609" s="4"/>
      <c r="B609" s="35" t="s">
        <v>830</v>
      </c>
      <c r="C609" s="2" t="s">
        <v>12</v>
      </c>
      <c r="D609" s="7">
        <v>6</v>
      </c>
      <c r="E609" s="7"/>
      <c r="F609" s="17">
        <v>14</v>
      </c>
      <c r="G609" s="17">
        <v>4</v>
      </c>
      <c r="H609" s="17">
        <v>36</v>
      </c>
      <c r="I609" s="16">
        <f>H609/(F609-G609)</f>
        <v>3.6</v>
      </c>
      <c r="J609" s="17">
        <v>8</v>
      </c>
      <c r="K609" s="25">
        <v>4</v>
      </c>
      <c r="L609" s="25">
        <v>1</v>
      </c>
      <c r="M609" s="25">
        <v>20</v>
      </c>
      <c r="N609" s="24">
        <f>M609/L609</f>
        <v>20</v>
      </c>
      <c r="O609" s="23"/>
    </row>
    <row r="610" spans="1:15" x14ac:dyDescent="0.2">
      <c r="A610" s="4"/>
      <c r="B610" s="35" t="s">
        <v>831</v>
      </c>
      <c r="C610" s="2" t="s">
        <v>13</v>
      </c>
      <c r="D610" s="7"/>
      <c r="E610" s="7"/>
      <c r="F610" s="17">
        <v>6</v>
      </c>
      <c r="G610" s="17">
        <v>0</v>
      </c>
      <c r="H610" s="17">
        <v>5</v>
      </c>
      <c r="I610" s="16">
        <f>H610/(F610-G610)</f>
        <v>0.83333333333333337</v>
      </c>
      <c r="J610" s="17">
        <v>5</v>
      </c>
      <c r="K610" s="25">
        <v>9</v>
      </c>
      <c r="L610" s="25">
        <v>1</v>
      </c>
      <c r="M610" s="25">
        <v>28</v>
      </c>
      <c r="N610" s="24">
        <f>M610/L610</f>
        <v>28</v>
      </c>
      <c r="O610" s="23"/>
    </row>
    <row r="611" spans="1:15" s="54" customFormat="1" x14ac:dyDescent="0.2">
      <c r="A611" s="4"/>
      <c r="B611" s="35" t="s">
        <v>832</v>
      </c>
      <c r="C611" s="2" t="s">
        <v>8</v>
      </c>
      <c r="D611" s="7">
        <f>1+1</f>
        <v>2</v>
      </c>
      <c r="E611" s="7"/>
      <c r="F611" s="17">
        <f>12+2</f>
        <v>14</v>
      </c>
      <c r="G611" s="17">
        <v>3</v>
      </c>
      <c r="H611" s="17">
        <f>80+4</f>
        <v>84</v>
      </c>
      <c r="I611" s="16">
        <f>H611/(F611-G611)</f>
        <v>7.6363636363636367</v>
      </c>
      <c r="J611" s="17">
        <v>17</v>
      </c>
      <c r="K611" s="25">
        <f>6+103+18</f>
        <v>127</v>
      </c>
      <c r="L611" s="25">
        <f>1+20+3</f>
        <v>24</v>
      </c>
      <c r="M611" s="25">
        <f>14+245+17</f>
        <v>276</v>
      </c>
      <c r="N611" s="24">
        <f>M611/L611</f>
        <v>11.5</v>
      </c>
      <c r="O611" s="23"/>
    </row>
    <row r="612" spans="1:15" s="5" customFormat="1" x14ac:dyDescent="0.2">
      <c r="A612" s="4"/>
      <c r="B612" s="35" t="s">
        <v>833</v>
      </c>
      <c r="C612" s="2" t="s">
        <v>20</v>
      </c>
      <c r="D612" s="7">
        <v>4</v>
      </c>
      <c r="E612" s="7"/>
      <c r="F612" s="17">
        <v>20</v>
      </c>
      <c r="G612" s="17">
        <v>2</v>
      </c>
      <c r="H612" s="17">
        <v>239</v>
      </c>
      <c r="I612" s="16">
        <f>H612/(F612-G612)</f>
        <v>13.277777777777779</v>
      </c>
      <c r="J612" s="17">
        <v>35</v>
      </c>
      <c r="K612" s="25"/>
      <c r="L612" s="25"/>
      <c r="M612" s="25"/>
      <c r="N612" s="24" t="e">
        <f>M612/L612</f>
        <v>#DIV/0!</v>
      </c>
      <c r="O612" s="23"/>
    </row>
    <row r="613" spans="1:15" x14ac:dyDescent="0.2">
      <c r="A613" s="64">
        <v>1774174</v>
      </c>
      <c r="B613" s="65" t="s">
        <v>1872</v>
      </c>
      <c r="C613" s="58" t="s">
        <v>1873</v>
      </c>
      <c r="D613" s="59">
        <f>0</f>
        <v>0</v>
      </c>
      <c r="E613" s="59">
        <f>0</f>
        <v>0</v>
      </c>
      <c r="F613" s="60">
        <f>10+2</f>
        <v>12</v>
      </c>
      <c r="G613" s="60">
        <f>2+1</f>
        <v>3</v>
      </c>
      <c r="H613" s="60">
        <f>99+11</f>
        <v>110</v>
      </c>
      <c r="I613" s="61">
        <f>H613/(F613-G613)</f>
        <v>12.222222222222221</v>
      </c>
      <c r="J613" s="60">
        <v>29</v>
      </c>
      <c r="K613" s="62">
        <f>60+12</f>
        <v>72</v>
      </c>
      <c r="L613" s="62">
        <f>9+1</f>
        <v>10</v>
      </c>
      <c r="M613" s="62">
        <f>252+52</f>
        <v>304</v>
      </c>
      <c r="N613" s="63">
        <f>M613/L613</f>
        <v>30.4</v>
      </c>
      <c r="O613" s="66" t="s">
        <v>2024</v>
      </c>
    </row>
    <row r="614" spans="1:15" s="54" customFormat="1" x14ac:dyDescent="0.2">
      <c r="A614" s="4"/>
      <c r="B614" s="35" t="s">
        <v>834</v>
      </c>
      <c r="C614" s="2" t="s">
        <v>22</v>
      </c>
      <c r="D614" s="7">
        <v>3</v>
      </c>
      <c r="E614" s="7"/>
      <c r="F614" s="17">
        <v>10</v>
      </c>
      <c r="G614" s="17">
        <v>2</v>
      </c>
      <c r="H614" s="17">
        <v>22</v>
      </c>
      <c r="I614" s="16">
        <f>H614/(F614-G614)</f>
        <v>2.75</v>
      </c>
      <c r="J614" s="17">
        <v>15</v>
      </c>
      <c r="K614" s="25">
        <v>15</v>
      </c>
      <c r="L614" s="25">
        <v>5</v>
      </c>
      <c r="M614" s="25">
        <v>52</v>
      </c>
      <c r="N614" s="24">
        <f>M614/L614</f>
        <v>10.4</v>
      </c>
      <c r="O614" s="23"/>
    </row>
    <row r="615" spans="1:15" s="54" customFormat="1" x14ac:dyDescent="0.2">
      <c r="A615" s="64">
        <v>1648562</v>
      </c>
      <c r="B615" s="65" t="s">
        <v>1874</v>
      </c>
      <c r="C615" s="58" t="s">
        <v>1875</v>
      </c>
      <c r="D615" s="59">
        <f>0+0+0</f>
        <v>0</v>
      </c>
      <c r="E615" s="59">
        <f>0</f>
        <v>0</v>
      </c>
      <c r="F615" s="60">
        <f>5+5+2+2</f>
        <v>14</v>
      </c>
      <c r="G615" s="60">
        <f>1+2+1+1</f>
        <v>5</v>
      </c>
      <c r="H615" s="60">
        <f>10+16+6+2</f>
        <v>34</v>
      </c>
      <c r="I615" s="61">
        <f>H615/(F615-G615)</f>
        <v>3.7777777777777777</v>
      </c>
      <c r="J615" s="60" t="s">
        <v>347</v>
      </c>
      <c r="K615" s="62">
        <f>75.2+32.2+33+13</f>
        <v>153.4</v>
      </c>
      <c r="L615" s="62">
        <f>12+14+2+6</f>
        <v>34</v>
      </c>
      <c r="M615" s="62">
        <f>220+149+120+40</f>
        <v>529</v>
      </c>
      <c r="N615" s="63">
        <f>M615/L615</f>
        <v>15.558823529411764</v>
      </c>
      <c r="O615" s="66" t="s">
        <v>2699</v>
      </c>
    </row>
    <row r="616" spans="1:15" s="54" customFormat="1" x14ac:dyDescent="0.2">
      <c r="A616" s="4">
        <v>1133057</v>
      </c>
      <c r="B616" s="35" t="s">
        <v>2102</v>
      </c>
      <c r="C616" s="2" t="s">
        <v>2103</v>
      </c>
      <c r="D616" s="7">
        <f>6+1</f>
        <v>7</v>
      </c>
      <c r="E616" s="7">
        <f>0</f>
        <v>0</v>
      </c>
      <c r="F616" s="17">
        <f>7+7</f>
        <v>14</v>
      </c>
      <c r="G616" s="17">
        <f>2+0</f>
        <v>2</v>
      </c>
      <c r="H616" s="17">
        <f>29+44</f>
        <v>73</v>
      </c>
      <c r="I616" s="16">
        <f>H616/(F616-G616)</f>
        <v>6.083333333333333</v>
      </c>
      <c r="J616" s="17" t="s">
        <v>279</v>
      </c>
      <c r="K616" s="25">
        <f>32+49.2</f>
        <v>81.2</v>
      </c>
      <c r="L616" s="25">
        <v>16</v>
      </c>
      <c r="M616" s="25">
        <f>85+179</f>
        <v>264</v>
      </c>
      <c r="N616" s="24">
        <f>M616/L616</f>
        <v>16.5</v>
      </c>
      <c r="O616" s="49" t="s">
        <v>2461</v>
      </c>
    </row>
    <row r="617" spans="1:15" s="5" customFormat="1" x14ac:dyDescent="0.2">
      <c r="A617" s="4">
        <v>1764755</v>
      </c>
      <c r="B617" s="74" t="s">
        <v>2104</v>
      </c>
      <c r="C617" s="2" t="s">
        <v>2105</v>
      </c>
      <c r="D617" s="7">
        <f>0</f>
        <v>0</v>
      </c>
      <c r="E617" s="7"/>
      <c r="F617" s="17">
        <f>14</f>
        <v>14</v>
      </c>
      <c r="G617" s="17">
        <f>8</f>
        <v>8</v>
      </c>
      <c r="H617" s="17">
        <f>32</f>
        <v>32</v>
      </c>
      <c r="I617" s="16">
        <f>H617/(F617-G617)</f>
        <v>5.333333333333333</v>
      </c>
      <c r="J617" s="17" t="s">
        <v>271</v>
      </c>
      <c r="K617" s="25">
        <f>28</f>
        <v>28</v>
      </c>
      <c r="L617" s="25">
        <f>4</f>
        <v>4</v>
      </c>
      <c r="M617" s="25">
        <f>114</f>
        <v>114</v>
      </c>
      <c r="N617" s="24">
        <f>M617/L617</f>
        <v>28.5</v>
      </c>
      <c r="O617" s="49" t="s">
        <v>1379</v>
      </c>
    </row>
    <row r="618" spans="1:15" s="54" customFormat="1" x14ac:dyDescent="0.2">
      <c r="A618" s="4"/>
      <c r="B618" s="35" t="s">
        <v>835</v>
      </c>
      <c r="C618" s="2" t="s">
        <v>89</v>
      </c>
      <c r="D618" s="7">
        <f>4+3+6+4</f>
        <v>17</v>
      </c>
      <c r="E618" s="7"/>
      <c r="F618" s="17">
        <f>10+10+9+1+12</f>
        <v>42</v>
      </c>
      <c r="G618" s="17">
        <f>4+2+3</f>
        <v>9</v>
      </c>
      <c r="H618" s="17">
        <f>6+65+107+3+91</f>
        <v>272</v>
      </c>
      <c r="I618" s="16">
        <f>H618/(F618-G618)</f>
        <v>8.2424242424242422</v>
      </c>
      <c r="J618" s="17">
        <v>47</v>
      </c>
      <c r="K618" s="25">
        <f>32+5+3+0</f>
        <v>40</v>
      </c>
      <c r="L618" s="25">
        <f>9+1+0</f>
        <v>10</v>
      </c>
      <c r="M618" s="25">
        <f>80+23+4+0</f>
        <v>107</v>
      </c>
      <c r="N618" s="24">
        <f>M618/L618</f>
        <v>10.7</v>
      </c>
      <c r="O618" s="23"/>
    </row>
    <row r="619" spans="1:15" x14ac:dyDescent="0.2">
      <c r="A619" s="4">
        <v>1906903</v>
      </c>
      <c r="B619" s="35" t="s">
        <v>2106</v>
      </c>
      <c r="C619" s="2" t="s">
        <v>2107</v>
      </c>
      <c r="D619" s="7">
        <f>3</f>
        <v>3</v>
      </c>
      <c r="E619" s="7"/>
      <c r="F619" s="17">
        <f>4</f>
        <v>4</v>
      </c>
      <c r="G619" s="17">
        <f>0</f>
        <v>0</v>
      </c>
      <c r="H619" s="17">
        <f>4</f>
        <v>4</v>
      </c>
      <c r="I619" s="16">
        <f>H619/(F619-G619)</f>
        <v>1</v>
      </c>
      <c r="J619" s="17">
        <v>2</v>
      </c>
      <c r="K619" s="25">
        <f>14</f>
        <v>14</v>
      </c>
      <c r="L619" s="25">
        <f>4</f>
        <v>4</v>
      </c>
      <c r="M619" s="25">
        <f>69</f>
        <v>69</v>
      </c>
      <c r="N619" s="24">
        <f>M619/L619</f>
        <v>17.25</v>
      </c>
      <c r="O619" s="49" t="s">
        <v>1628</v>
      </c>
    </row>
    <row r="620" spans="1:15" x14ac:dyDescent="0.2">
      <c r="A620" s="4">
        <v>2046089</v>
      </c>
      <c r="B620" s="35" t="s">
        <v>2339</v>
      </c>
      <c r="C620" s="2" t="s">
        <v>2340</v>
      </c>
      <c r="D620" s="7">
        <f>0</f>
        <v>0</v>
      </c>
      <c r="E620" s="7">
        <f>0</f>
        <v>0</v>
      </c>
      <c r="F620" s="17">
        <f>11</f>
        <v>11</v>
      </c>
      <c r="G620" s="17">
        <f>0</f>
        <v>0</v>
      </c>
      <c r="H620" s="17">
        <f>14</f>
        <v>14</v>
      </c>
      <c r="I620" s="16">
        <f>H620/(F620-G620)</f>
        <v>1.2727272727272727</v>
      </c>
      <c r="J620" s="17">
        <f>5</f>
        <v>5</v>
      </c>
      <c r="K620" s="25">
        <f>43</f>
        <v>43</v>
      </c>
      <c r="L620" s="25">
        <f>5</f>
        <v>5</v>
      </c>
      <c r="M620" s="25">
        <f>119</f>
        <v>119</v>
      </c>
      <c r="N620" s="24">
        <f>M620/L620</f>
        <v>23.8</v>
      </c>
      <c r="O620" s="49" t="s">
        <v>1462</v>
      </c>
    </row>
    <row r="621" spans="1:15" x14ac:dyDescent="0.2">
      <c r="A621" s="4">
        <v>950153</v>
      </c>
      <c r="B621" s="34" t="s">
        <v>1339</v>
      </c>
      <c r="C621" s="2" t="s">
        <v>356</v>
      </c>
      <c r="D621" s="7">
        <f>0+1+2+6+8+9+2+3+0</f>
        <v>31</v>
      </c>
      <c r="E621" s="7">
        <f>0+0+0+0+0</f>
        <v>0</v>
      </c>
      <c r="F621" s="17">
        <f>1+7+9+9+10+12+2</f>
        <v>50</v>
      </c>
      <c r="G621" s="17">
        <f>0+1+2+2+1+2+0</f>
        <v>8</v>
      </c>
      <c r="H621" s="17">
        <f>2+109+58+63+82+130+4</f>
        <v>448</v>
      </c>
      <c r="I621" s="16">
        <f>H621/(F621-G621)</f>
        <v>10.666666666666666</v>
      </c>
      <c r="J621" s="17" t="s">
        <v>348</v>
      </c>
      <c r="K621" s="25">
        <f>2+2+6+21+3</f>
        <v>34</v>
      </c>
      <c r="L621" s="25">
        <f>2+0+1+3+0</f>
        <v>6</v>
      </c>
      <c r="M621" s="25">
        <f>18+15+29+130+12</f>
        <v>204</v>
      </c>
      <c r="N621" s="24">
        <f>M621/L621</f>
        <v>34</v>
      </c>
      <c r="O621" s="49" t="s">
        <v>1503</v>
      </c>
    </row>
    <row r="622" spans="1:15" s="54" customFormat="1" x14ac:dyDescent="0.2">
      <c r="A622" s="4"/>
      <c r="B622" s="34" t="s">
        <v>836</v>
      </c>
      <c r="C622" s="2" t="s">
        <v>97</v>
      </c>
      <c r="D622" s="7">
        <v>2</v>
      </c>
      <c r="E622" s="7"/>
      <c r="F622" s="17">
        <v>11</v>
      </c>
      <c r="G622" s="17">
        <v>1</v>
      </c>
      <c r="H622" s="17">
        <v>38</v>
      </c>
      <c r="I622" s="16">
        <f>H622/(F622-G622)</f>
        <v>3.8</v>
      </c>
      <c r="J622" s="17">
        <v>16</v>
      </c>
      <c r="K622" s="25">
        <v>10</v>
      </c>
      <c r="L622" s="25">
        <v>0</v>
      </c>
      <c r="M622" s="25">
        <v>51</v>
      </c>
      <c r="N622" s="24" t="e">
        <f>M622/L622</f>
        <v>#DIV/0!</v>
      </c>
      <c r="O622" s="23"/>
    </row>
    <row r="623" spans="1:15" x14ac:dyDescent="0.2">
      <c r="A623" s="4"/>
      <c r="B623" s="34" t="s">
        <v>837</v>
      </c>
      <c r="C623" s="2" t="s">
        <v>134</v>
      </c>
      <c r="D623" s="7">
        <f>4+2</f>
        <v>6</v>
      </c>
      <c r="E623" s="7"/>
      <c r="F623" s="17">
        <f>11+13</f>
        <v>24</v>
      </c>
      <c r="G623" s="17">
        <f>3+1</f>
        <v>4</v>
      </c>
      <c r="H623" s="17">
        <f>122+91</f>
        <v>213</v>
      </c>
      <c r="I623" s="16">
        <f>H623/(F623-G623)</f>
        <v>10.65</v>
      </c>
      <c r="J623" s="17">
        <v>51</v>
      </c>
      <c r="K623" s="25">
        <f>85+43</f>
        <v>128</v>
      </c>
      <c r="L623" s="25">
        <f>16+8</f>
        <v>24</v>
      </c>
      <c r="M623" s="25">
        <f>290+157</f>
        <v>447</v>
      </c>
      <c r="N623" s="24">
        <f>M623/L623</f>
        <v>18.625</v>
      </c>
      <c r="O623" s="23"/>
    </row>
    <row r="624" spans="1:15" s="5" customFormat="1" x14ac:dyDescent="0.2">
      <c r="A624" s="4"/>
      <c r="B624" s="34" t="s">
        <v>838</v>
      </c>
      <c r="C624" s="2" t="s">
        <v>145</v>
      </c>
      <c r="D624" s="7">
        <f>4+7</f>
        <v>11</v>
      </c>
      <c r="E624" s="7"/>
      <c r="F624" s="17">
        <f>13+13</f>
        <v>26</v>
      </c>
      <c r="G624" s="17">
        <f>1+2</f>
        <v>3</v>
      </c>
      <c r="H624" s="17">
        <f>237+57</f>
        <v>294</v>
      </c>
      <c r="I624" s="16">
        <f>H624/(F624-G624)</f>
        <v>12.782608695652174</v>
      </c>
      <c r="J624" s="17">
        <v>53</v>
      </c>
      <c r="K624" s="25">
        <f>27+9</f>
        <v>36</v>
      </c>
      <c r="L624" s="25">
        <f>3+1</f>
        <v>4</v>
      </c>
      <c r="M624" s="25">
        <f>119+33</f>
        <v>152</v>
      </c>
      <c r="N624" s="24">
        <f>M624/L624</f>
        <v>38</v>
      </c>
      <c r="O624" s="23"/>
    </row>
    <row r="625" spans="1:15" s="6" customFormat="1" ht="13.5" customHeight="1" x14ac:dyDescent="0.2">
      <c r="A625" s="4"/>
      <c r="B625" s="34" t="s">
        <v>839</v>
      </c>
      <c r="C625" s="2" t="s">
        <v>202</v>
      </c>
      <c r="D625" s="7">
        <v>0</v>
      </c>
      <c r="E625" s="7"/>
      <c r="F625" s="17">
        <v>3</v>
      </c>
      <c r="G625" s="17">
        <v>1</v>
      </c>
      <c r="H625" s="17">
        <v>8</v>
      </c>
      <c r="I625" s="16">
        <f>H625/(F625-G625)</f>
        <v>4</v>
      </c>
      <c r="J625" s="17" t="s">
        <v>289</v>
      </c>
      <c r="K625" s="25">
        <v>0</v>
      </c>
      <c r="L625" s="25">
        <v>0</v>
      </c>
      <c r="M625" s="25">
        <v>0</v>
      </c>
      <c r="N625" s="24" t="e">
        <f>M625/L625</f>
        <v>#DIV/0!</v>
      </c>
      <c r="O625" s="23"/>
    </row>
    <row r="626" spans="1:15" s="54" customFormat="1" ht="13.5" customHeight="1" x14ac:dyDescent="0.2">
      <c r="A626" s="4">
        <v>970808</v>
      </c>
      <c r="B626" s="35" t="s">
        <v>840</v>
      </c>
      <c r="C626" s="2" t="s">
        <v>43</v>
      </c>
      <c r="D626" s="7">
        <f>1+0</f>
        <v>1</v>
      </c>
      <c r="E626" s="7">
        <f>0</f>
        <v>0</v>
      </c>
      <c r="F626" s="17">
        <f>11</f>
        <v>11</v>
      </c>
      <c r="G626" s="17">
        <f>0</f>
        <v>0</v>
      </c>
      <c r="H626" s="17">
        <f>99</f>
        <v>99</v>
      </c>
      <c r="I626" s="16">
        <f>H626/(F626-G626)</f>
        <v>9</v>
      </c>
      <c r="J626" s="17">
        <v>19</v>
      </c>
      <c r="K626" s="25">
        <f>5</f>
        <v>5</v>
      </c>
      <c r="L626" s="25">
        <f>0</f>
        <v>0</v>
      </c>
      <c r="M626" s="25">
        <f>32</f>
        <v>32</v>
      </c>
      <c r="N626" s="24" t="e">
        <f>M626/L626</f>
        <v>#DIV/0!</v>
      </c>
      <c r="O626" s="23"/>
    </row>
    <row r="627" spans="1:15" s="54" customFormat="1" ht="13.5" customHeight="1" x14ac:dyDescent="0.2">
      <c r="A627" s="4"/>
      <c r="B627" s="34" t="s">
        <v>841</v>
      </c>
      <c r="C627" s="2" t="s">
        <v>206</v>
      </c>
      <c r="D627" s="7">
        <f>1+0</f>
        <v>1</v>
      </c>
      <c r="E627" s="7"/>
      <c r="F627" s="17">
        <f>10+8</f>
        <v>18</v>
      </c>
      <c r="G627" s="17">
        <f>1+2</f>
        <v>3</v>
      </c>
      <c r="H627" s="17">
        <f>55+38</f>
        <v>93</v>
      </c>
      <c r="I627" s="16">
        <f>H627/(F627-G627)</f>
        <v>6.2</v>
      </c>
      <c r="J627" s="17">
        <v>31</v>
      </c>
      <c r="K627" s="25">
        <f>39+23</f>
        <v>62</v>
      </c>
      <c r="L627" s="25">
        <f>11+3</f>
        <v>14</v>
      </c>
      <c r="M627" s="25">
        <f>102+146</f>
        <v>248</v>
      </c>
      <c r="N627" s="24">
        <f>M627/L627</f>
        <v>17.714285714285715</v>
      </c>
      <c r="O627" s="23"/>
    </row>
    <row r="628" spans="1:15" s="6" customFormat="1" ht="13.5" customHeight="1" x14ac:dyDescent="0.2">
      <c r="A628" s="84">
        <v>1449422</v>
      </c>
      <c r="B628" s="35" t="s">
        <v>1695</v>
      </c>
      <c r="C628" s="2" t="s">
        <v>1696</v>
      </c>
      <c r="D628" s="7">
        <f>0</f>
        <v>0</v>
      </c>
      <c r="E628" s="7">
        <f>0</f>
        <v>0</v>
      </c>
      <c r="F628" s="17">
        <f>2</f>
        <v>2</v>
      </c>
      <c r="G628" s="17">
        <f>1</f>
        <v>1</v>
      </c>
      <c r="H628" s="17">
        <f>0</f>
        <v>0</v>
      </c>
      <c r="I628" s="16">
        <f>H628/(F628-G628)</f>
        <v>0</v>
      </c>
      <c r="J628" s="17" t="s">
        <v>372</v>
      </c>
      <c r="K628" s="25"/>
      <c r="L628" s="25"/>
      <c r="M628" s="25"/>
      <c r="N628" s="24" t="e">
        <f>M628/L628</f>
        <v>#DIV/0!</v>
      </c>
      <c r="O628" s="23"/>
    </row>
    <row r="629" spans="1:15" s="6" customFormat="1" x14ac:dyDescent="0.2">
      <c r="A629" s="4"/>
      <c r="B629" s="34" t="s">
        <v>843</v>
      </c>
      <c r="C629" s="2" t="s">
        <v>91</v>
      </c>
      <c r="D629" s="7">
        <v>5</v>
      </c>
      <c r="E629" s="7"/>
      <c r="F629" s="17">
        <v>12</v>
      </c>
      <c r="G629" s="17">
        <v>0</v>
      </c>
      <c r="H629" s="17">
        <v>260</v>
      </c>
      <c r="I629" s="16">
        <f>H629/(F629-G629)</f>
        <v>21.666666666666668</v>
      </c>
      <c r="J629" s="17">
        <v>47</v>
      </c>
      <c r="K629" s="25">
        <v>42</v>
      </c>
      <c r="L629" s="25">
        <v>2</v>
      </c>
      <c r="M629" s="25">
        <v>146</v>
      </c>
      <c r="N629" s="24">
        <f>M629/L629</f>
        <v>73</v>
      </c>
      <c r="O629" s="23"/>
    </row>
    <row r="630" spans="1:15" x14ac:dyDescent="0.2">
      <c r="A630" s="4"/>
      <c r="B630" s="35" t="s">
        <v>842</v>
      </c>
      <c r="C630" s="2" t="s">
        <v>25</v>
      </c>
      <c r="D630" s="7">
        <v>32</v>
      </c>
      <c r="E630" s="7"/>
      <c r="F630" s="17">
        <v>98</v>
      </c>
      <c r="G630" s="17">
        <v>15</v>
      </c>
      <c r="H630" s="17">
        <v>1014</v>
      </c>
      <c r="I630" s="16">
        <f>H630/(F630-G630)</f>
        <v>12.216867469879517</v>
      </c>
      <c r="J630" s="17">
        <v>89</v>
      </c>
      <c r="K630" s="25">
        <v>61</v>
      </c>
      <c r="L630" s="25">
        <v>47</v>
      </c>
      <c r="M630" s="25">
        <v>348</v>
      </c>
      <c r="N630" s="24">
        <f>M630/L630</f>
        <v>7.4042553191489358</v>
      </c>
      <c r="O630" s="23"/>
    </row>
    <row r="631" spans="1:15" s="54" customFormat="1" x14ac:dyDescent="0.2">
      <c r="A631" s="4"/>
      <c r="B631" s="34" t="s">
        <v>844</v>
      </c>
      <c r="C631" s="2" t="s">
        <v>43</v>
      </c>
      <c r="D631" s="7">
        <v>1</v>
      </c>
      <c r="E631" s="7"/>
      <c r="F631" s="17">
        <v>2</v>
      </c>
      <c r="G631" s="17">
        <v>0</v>
      </c>
      <c r="H631" s="17">
        <v>30</v>
      </c>
      <c r="I631" s="16">
        <f>H631/(F631-G631)</f>
        <v>15</v>
      </c>
      <c r="J631" s="17">
        <v>15</v>
      </c>
      <c r="K631" s="25"/>
      <c r="L631" s="25"/>
      <c r="M631" s="25"/>
      <c r="N631" s="24" t="e">
        <f>M631/L631</f>
        <v>#DIV/0!</v>
      </c>
      <c r="O631" s="23"/>
    </row>
    <row r="632" spans="1:15" x14ac:dyDescent="0.2">
      <c r="A632" s="4"/>
      <c r="B632" s="34" t="s">
        <v>845</v>
      </c>
      <c r="C632" s="2" t="s">
        <v>260</v>
      </c>
      <c r="D632" s="7">
        <v>18</v>
      </c>
      <c r="E632" s="7"/>
      <c r="F632" s="17">
        <v>13</v>
      </c>
      <c r="G632" s="17">
        <v>1</v>
      </c>
      <c r="H632" s="17">
        <v>175</v>
      </c>
      <c r="I632" s="16">
        <f>H632/(F632-G632)</f>
        <v>14.583333333333334</v>
      </c>
      <c r="J632" s="17">
        <v>50</v>
      </c>
      <c r="K632" s="25"/>
      <c r="L632" s="25"/>
      <c r="M632" s="25"/>
      <c r="N632" s="24" t="e">
        <f>M632/L632</f>
        <v>#DIV/0!</v>
      </c>
      <c r="O632" s="23"/>
    </row>
    <row r="633" spans="1:15" s="54" customFormat="1" x14ac:dyDescent="0.2">
      <c r="A633" s="4"/>
      <c r="B633" s="35" t="s">
        <v>846</v>
      </c>
      <c r="C633" s="2" t="s">
        <v>94</v>
      </c>
      <c r="D633" s="7">
        <f>2+1</f>
        <v>3</v>
      </c>
      <c r="E633" s="7"/>
      <c r="F633" s="17">
        <f>8+1</f>
        <v>9</v>
      </c>
      <c r="G633" s="17">
        <f>1+1</f>
        <v>2</v>
      </c>
      <c r="H633" s="17">
        <f>7+1</f>
        <v>8</v>
      </c>
      <c r="I633" s="16">
        <f>H633/(F633-G633)</f>
        <v>1.1428571428571428</v>
      </c>
      <c r="J633" s="17">
        <v>4</v>
      </c>
      <c r="K633" s="25">
        <f>24+5</f>
        <v>29</v>
      </c>
      <c r="L633" s="25">
        <f>7+4</f>
        <v>11</v>
      </c>
      <c r="M633" s="25">
        <f>97+8</f>
        <v>105</v>
      </c>
      <c r="N633" s="24">
        <f>M633/L633</f>
        <v>9.545454545454545</v>
      </c>
      <c r="O633" s="23"/>
    </row>
    <row r="634" spans="1:15" s="54" customFormat="1" x14ac:dyDescent="0.2">
      <c r="A634" s="4"/>
      <c r="B634" s="35" t="s">
        <v>847</v>
      </c>
      <c r="C634" s="2" t="s">
        <v>56</v>
      </c>
      <c r="D634" s="7">
        <f>4+1+1</f>
        <v>6</v>
      </c>
      <c r="E634" s="7"/>
      <c r="F634" s="15">
        <f>1+1+1+2+1+1+1+1+1+1+1+1+10+2+11+36</f>
        <v>72</v>
      </c>
      <c r="G634" s="15">
        <f>1+1+1+0+4</f>
        <v>7</v>
      </c>
      <c r="H634" s="15">
        <f>0+0+0+0+3+0+1+1+1+0+0+0+0+11+1+11+7</f>
        <v>36</v>
      </c>
      <c r="I634" s="16">
        <f>H634/(F634-G634)</f>
        <v>0.55384615384615388</v>
      </c>
      <c r="J634" s="17">
        <v>4</v>
      </c>
      <c r="K634" s="23">
        <f>2+3+2+2+2+2+17+6+8+3</f>
        <v>47</v>
      </c>
      <c r="L634" s="23">
        <f>2+0+2+1</f>
        <v>5</v>
      </c>
      <c r="M634" s="23">
        <f>11+30+5+9+19+18+79+16+72+13</f>
        <v>272</v>
      </c>
      <c r="N634" s="24">
        <f>M634/L634</f>
        <v>54.4</v>
      </c>
      <c r="O634" s="23"/>
    </row>
    <row r="635" spans="1:15" x14ac:dyDescent="0.2">
      <c r="A635" s="84">
        <v>1781233</v>
      </c>
      <c r="B635" s="35" t="s">
        <v>1876</v>
      </c>
      <c r="C635" s="2" t="s">
        <v>1877</v>
      </c>
      <c r="D635" s="7">
        <f>0+1</f>
        <v>1</v>
      </c>
      <c r="E635" s="7">
        <f>0</f>
        <v>0</v>
      </c>
      <c r="F635" s="17">
        <f>12+6</f>
        <v>18</v>
      </c>
      <c r="G635" s="17">
        <f>10+2</f>
        <v>12</v>
      </c>
      <c r="H635" s="17">
        <f>174+53</f>
        <v>227</v>
      </c>
      <c r="I635" s="16">
        <f>H635/(F635-G635)</f>
        <v>37.833333333333336</v>
      </c>
      <c r="J635" s="17" t="s">
        <v>417</v>
      </c>
      <c r="K635" s="25">
        <f>42+5</f>
        <v>47</v>
      </c>
      <c r="L635" s="25">
        <f>12+2</f>
        <v>14</v>
      </c>
      <c r="M635" s="25">
        <f>190+7</f>
        <v>197</v>
      </c>
      <c r="N635" s="24">
        <f>M635/L635</f>
        <v>14.071428571428571</v>
      </c>
      <c r="O635" s="49" t="s">
        <v>2025</v>
      </c>
    </row>
    <row r="636" spans="1:15" x14ac:dyDescent="0.2">
      <c r="A636" s="4"/>
      <c r="B636" s="35" t="s">
        <v>848</v>
      </c>
      <c r="C636" s="2" t="s">
        <v>84</v>
      </c>
      <c r="D636" s="7">
        <f>1+2+5</f>
        <v>8</v>
      </c>
      <c r="E636" s="7"/>
      <c r="F636" s="15">
        <f>3+2+8</f>
        <v>13</v>
      </c>
      <c r="G636" s="15">
        <f>1+2</f>
        <v>3</v>
      </c>
      <c r="H636" s="15">
        <f>2+2+14</f>
        <v>18</v>
      </c>
      <c r="I636" s="16">
        <f>H636/(F636-G636)</f>
        <v>1.8</v>
      </c>
      <c r="J636" s="17">
        <v>6</v>
      </c>
      <c r="K636" s="23">
        <f>6+1+6</f>
        <v>13</v>
      </c>
      <c r="L636" s="23">
        <f>2+0</f>
        <v>2</v>
      </c>
      <c r="M636" s="23">
        <f>16+3+12</f>
        <v>31</v>
      </c>
      <c r="N636" s="24">
        <f>M636/L636</f>
        <v>15.5</v>
      </c>
      <c r="O636" s="23"/>
    </row>
    <row r="637" spans="1:15" s="54" customFormat="1" x14ac:dyDescent="0.2">
      <c r="A637" s="4"/>
      <c r="B637" s="35" t="s">
        <v>849</v>
      </c>
      <c r="C637" s="2" t="s">
        <v>57</v>
      </c>
      <c r="D637" s="7">
        <f>1+7</f>
        <v>8</v>
      </c>
      <c r="E637" s="7"/>
      <c r="F637" s="15">
        <f>2+1+1+2+1+1+1+1+1+1+1+9+2+8</f>
        <v>32</v>
      </c>
      <c r="G637" s="15">
        <f>1+0</f>
        <v>1</v>
      </c>
      <c r="H637" s="15">
        <f>2+4+0+0+0+0+1+0+0+0+0+0+9+37</f>
        <v>53</v>
      </c>
      <c r="I637" s="16">
        <f>H637/(F637-G637)</f>
        <v>1.7096774193548387</v>
      </c>
      <c r="J637" s="17">
        <v>27</v>
      </c>
      <c r="K637" s="23">
        <f>3+2+2+2+2+1+2+3+36+2+25</f>
        <v>80</v>
      </c>
      <c r="L637" s="23">
        <f>1+0+1+0+0+0+0+0+4+8</f>
        <v>14</v>
      </c>
      <c r="M637" s="23">
        <f>32+9+2+8+18+3+17+28+116+7+56</f>
        <v>296</v>
      </c>
      <c r="N637" s="24">
        <f>M637/L637</f>
        <v>21.142857142857142</v>
      </c>
      <c r="O637" s="23"/>
    </row>
    <row r="638" spans="1:15" s="54" customFormat="1" x14ac:dyDescent="0.2">
      <c r="A638" s="4"/>
      <c r="B638" s="35" t="s">
        <v>850</v>
      </c>
      <c r="C638" s="2" t="s">
        <v>154</v>
      </c>
      <c r="D638" s="7">
        <f>25+3+6</f>
        <v>34</v>
      </c>
      <c r="E638" s="7"/>
      <c r="F638" s="17">
        <f>76+12+14</f>
        <v>102</v>
      </c>
      <c r="G638" s="17">
        <f>9+2</f>
        <v>11</v>
      </c>
      <c r="H638" s="17">
        <f>667+122+175</f>
        <v>964</v>
      </c>
      <c r="I638" s="16">
        <f>H638/(F638-G638)</f>
        <v>10.593406593406593</v>
      </c>
      <c r="J638" s="17">
        <v>57</v>
      </c>
      <c r="K638" s="25">
        <f>764+45+91</f>
        <v>900</v>
      </c>
      <c r="L638" s="25">
        <f>139+6+19</f>
        <v>164</v>
      </c>
      <c r="M638" s="25">
        <f>2473+182+254</f>
        <v>2909</v>
      </c>
      <c r="N638" s="24">
        <f>M638/L638</f>
        <v>17.737804878048781</v>
      </c>
      <c r="O638" s="23"/>
    </row>
    <row r="639" spans="1:15" s="54" customFormat="1" x14ac:dyDescent="0.2">
      <c r="A639" s="4"/>
      <c r="B639" s="35" t="s">
        <v>851</v>
      </c>
      <c r="C639" s="2" t="s">
        <v>17</v>
      </c>
      <c r="D639" s="7">
        <v>5</v>
      </c>
      <c r="E639" s="7"/>
      <c r="F639" s="17">
        <v>20</v>
      </c>
      <c r="G639" s="17"/>
      <c r="H639" s="17">
        <v>293</v>
      </c>
      <c r="I639" s="16">
        <f>H639/(F639-G639)</f>
        <v>14.65</v>
      </c>
      <c r="J639" s="17">
        <v>54</v>
      </c>
      <c r="K639" s="25">
        <v>7</v>
      </c>
      <c r="L639" s="25">
        <v>0</v>
      </c>
      <c r="M639" s="25">
        <v>62</v>
      </c>
      <c r="N639" s="24" t="e">
        <f>M639/L639</f>
        <v>#DIV/0!</v>
      </c>
      <c r="O639" s="23"/>
    </row>
    <row r="640" spans="1:15" s="54" customFormat="1" x14ac:dyDescent="0.2">
      <c r="A640" s="4"/>
      <c r="B640" s="35" t="s">
        <v>852</v>
      </c>
      <c r="C640" s="2" t="s">
        <v>116</v>
      </c>
      <c r="D640" s="7">
        <f>8+8+1+2+3+1+5+1+4+3+1+1+1</f>
        <v>39</v>
      </c>
      <c r="E640" s="7"/>
      <c r="F640" s="17">
        <f>6+8+1+2+9+1+1+11+3+12+10+1+1+2+1</f>
        <v>69</v>
      </c>
      <c r="G640" s="17">
        <f>2+5+1+1+1+1</f>
        <v>11</v>
      </c>
      <c r="H640" s="17">
        <f>83+49+10+19+125+102+20+187+104+30+7+11+8</f>
        <v>755</v>
      </c>
      <c r="I640" s="16">
        <f>H640/(F640-G640)</f>
        <v>13.017241379310345</v>
      </c>
      <c r="J640" s="17">
        <v>69</v>
      </c>
      <c r="K640" s="25">
        <f>45+17+6+38+10+19+14+57+10+7</f>
        <v>223</v>
      </c>
      <c r="L640" s="25">
        <f>17+1+1+7+3+2+2+18+1</f>
        <v>52</v>
      </c>
      <c r="M640" s="25">
        <f>199+65+27+154+44+110+39+280+34+40</f>
        <v>992</v>
      </c>
      <c r="N640" s="24">
        <f>M640/L640</f>
        <v>19.076923076923077</v>
      </c>
      <c r="O640" s="23"/>
    </row>
    <row r="641" spans="1:15" x14ac:dyDescent="0.2">
      <c r="A641" s="64">
        <v>1762069</v>
      </c>
      <c r="B641" s="65" t="s">
        <v>1878</v>
      </c>
      <c r="C641" s="58" t="s">
        <v>1879</v>
      </c>
      <c r="D641" s="59">
        <f>6+7+8+2</f>
        <v>23</v>
      </c>
      <c r="E641" s="59">
        <f>0+2</f>
        <v>2</v>
      </c>
      <c r="F641" s="60">
        <f>11+12+10+12</f>
        <v>45</v>
      </c>
      <c r="G641" s="60">
        <f>1+2+0+2</f>
        <v>5</v>
      </c>
      <c r="H641" s="60">
        <f>81+104+82+104</f>
        <v>371</v>
      </c>
      <c r="I641" s="61">
        <f>H641/(F641-G641)</f>
        <v>9.2750000000000004</v>
      </c>
      <c r="J641" s="60">
        <v>34</v>
      </c>
      <c r="K641" s="62">
        <f>64+73.5+87+50</f>
        <v>274.5</v>
      </c>
      <c r="L641" s="62">
        <f>9+20+15+5</f>
        <v>49</v>
      </c>
      <c r="M641" s="62">
        <f>234+226+223+213</f>
        <v>896</v>
      </c>
      <c r="N641" s="63">
        <f>M641/L641</f>
        <v>18.285714285714285</v>
      </c>
      <c r="O641" s="66" t="s">
        <v>2269</v>
      </c>
    </row>
    <row r="642" spans="1:15" x14ac:dyDescent="0.2">
      <c r="A642" s="4">
        <v>975788</v>
      </c>
      <c r="B642" s="35" t="s">
        <v>853</v>
      </c>
      <c r="C642" s="2" t="s">
        <v>375</v>
      </c>
      <c r="D642" s="7">
        <f>3+4+3</f>
        <v>10</v>
      </c>
      <c r="E642" s="7">
        <f>0</f>
        <v>0</v>
      </c>
      <c r="F642" s="17">
        <f>9+15+5</f>
        <v>29</v>
      </c>
      <c r="G642" s="17">
        <f>2+0+0</f>
        <v>2</v>
      </c>
      <c r="H642" s="17">
        <f>86+184+28</f>
        <v>298</v>
      </c>
      <c r="I642" s="16">
        <f>H642/(F642-G642)</f>
        <v>11.037037037037036</v>
      </c>
      <c r="J642" s="17" t="s">
        <v>380</v>
      </c>
      <c r="K642" s="25">
        <f>2</f>
        <v>2</v>
      </c>
      <c r="L642" s="25">
        <f>0</f>
        <v>0</v>
      </c>
      <c r="M642" s="25">
        <f>14</f>
        <v>14</v>
      </c>
      <c r="N642" s="24" t="e">
        <f>M642/L642</f>
        <v>#DIV/0!</v>
      </c>
      <c r="O642" s="49" t="s">
        <v>1371</v>
      </c>
    </row>
    <row r="643" spans="1:15" s="5" customFormat="1" x14ac:dyDescent="0.2">
      <c r="A643" s="84">
        <v>1756077</v>
      </c>
      <c r="B643" s="35" t="s">
        <v>1880</v>
      </c>
      <c r="C643" s="2" t="s">
        <v>98</v>
      </c>
      <c r="D643" s="7">
        <f>2</f>
        <v>2</v>
      </c>
      <c r="E643" s="7">
        <f>0</f>
        <v>0</v>
      </c>
      <c r="F643" s="17">
        <f>5</f>
        <v>5</v>
      </c>
      <c r="G643" s="17">
        <f>0</f>
        <v>0</v>
      </c>
      <c r="H643" s="17">
        <f>14</f>
        <v>14</v>
      </c>
      <c r="I643" s="16">
        <f>H643/(F643-G643)</f>
        <v>2.8</v>
      </c>
      <c r="J643" s="17">
        <v>8</v>
      </c>
      <c r="K643" s="25"/>
      <c r="L643" s="25"/>
      <c r="M643" s="25"/>
      <c r="N643" s="24" t="e">
        <f>M643/L643</f>
        <v>#DIV/0!</v>
      </c>
      <c r="O643" s="23"/>
    </row>
    <row r="644" spans="1:15" s="54" customFormat="1" x14ac:dyDescent="0.2">
      <c r="A644" s="84">
        <v>1764782</v>
      </c>
      <c r="B644" s="35" t="s">
        <v>1881</v>
      </c>
      <c r="C644" s="2" t="s">
        <v>1882</v>
      </c>
      <c r="D644" s="7">
        <f>0</f>
        <v>0</v>
      </c>
      <c r="E644" s="7">
        <f>1</f>
        <v>1</v>
      </c>
      <c r="F644" s="17">
        <f>5</f>
        <v>5</v>
      </c>
      <c r="G644" s="17">
        <f>0</f>
        <v>0</v>
      </c>
      <c r="H644" s="17">
        <f>0</f>
        <v>0</v>
      </c>
      <c r="I644" s="16">
        <f>H644/(F644-G644)</f>
        <v>0</v>
      </c>
      <c r="J644" s="17">
        <v>0</v>
      </c>
      <c r="K644" s="25"/>
      <c r="L644" s="25"/>
      <c r="M644" s="25"/>
      <c r="N644" s="24" t="e">
        <f>M644/L644</f>
        <v>#DIV/0!</v>
      </c>
      <c r="O644" s="23"/>
    </row>
    <row r="645" spans="1:15" s="5" customFormat="1" x14ac:dyDescent="0.2">
      <c r="A645" s="4"/>
      <c r="B645" s="35" t="s">
        <v>854</v>
      </c>
      <c r="C645" s="2" t="s">
        <v>10</v>
      </c>
      <c r="D645" s="7">
        <v>8</v>
      </c>
      <c r="E645" s="7"/>
      <c r="F645" s="17">
        <v>15</v>
      </c>
      <c r="G645" s="17">
        <v>4</v>
      </c>
      <c r="H645" s="17">
        <v>115</v>
      </c>
      <c r="I645" s="16">
        <f>H645/(F645-G645)</f>
        <v>10.454545454545455</v>
      </c>
      <c r="J645" s="17" t="s">
        <v>379</v>
      </c>
      <c r="K645" s="25">
        <v>118</v>
      </c>
      <c r="L645" s="25">
        <v>27</v>
      </c>
      <c r="M645" s="25">
        <v>271</v>
      </c>
      <c r="N645" s="24">
        <f>M645/L645</f>
        <v>10.037037037037036</v>
      </c>
      <c r="O645" s="23"/>
    </row>
    <row r="646" spans="1:15" x14ac:dyDescent="0.2">
      <c r="A646" s="4"/>
      <c r="B646" s="35" t="s">
        <v>855</v>
      </c>
      <c r="C646" s="2" t="s">
        <v>19</v>
      </c>
      <c r="D646" s="7">
        <v>7</v>
      </c>
      <c r="E646" s="7"/>
      <c r="F646" s="17">
        <v>47</v>
      </c>
      <c r="G646" s="17">
        <v>15</v>
      </c>
      <c r="H646" s="17">
        <v>257</v>
      </c>
      <c r="I646" s="16">
        <f>H646/(F646-G646)</f>
        <v>8.03125</v>
      </c>
      <c r="J646" s="17">
        <v>49</v>
      </c>
      <c r="K646" s="25">
        <v>228</v>
      </c>
      <c r="L646" s="25">
        <v>32</v>
      </c>
      <c r="M646" s="25">
        <v>890</v>
      </c>
      <c r="N646" s="24">
        <f>M646/L646</f>
        <v>27.8125</v>
      </c>
      <c r="O646" s="23"/>
    </row>
    <row r="647" spans="1:15" x14ac:dyDescent="0.2">
      <c r="A647" s="84">
        <v>800019</v>
      </c>
      <c r="B647" s="35" t="s">
        <v>1883</v>
      </c>
      <c r="C647" s="2" t="s">
        <v>1884</v>
      </c>
      <c r="D647" s="7">
        <f>3+0+0+0</f>
        <v>3</v>
      </c>
      <c r="E647" s="7">
        <f>0+0</f>
        <v>0</v>
      </c>
      <c r="F647" s="17">
        <f>11+9+8+11</f>
        <v>39</v>
      </c>
      <c r="G647" s="17">
        <f>1+0+0+1</f>
        <v>2</v>
      </c>
      <c r="H647" s="17">
        <f>111+92+107+81</f>
        <v>391</v>
      </c>
      <c r="I647" s="16">
        <f>H647/(F647-G647)</f>
        <v>10.567567567567568</v>
      </c>
      <c r="J647" s="17">
        <v>45</v>
      </c>
      <c r="K647" s="25">
        <f>44+26+44+35.2</f>
        <v>149.19999999999999</v>
      </c>
      <c r="L647" s="25">
        <f>4+0+11+11</f>
        <v>26</v>
      </c>
      <c r="M647" s="25">
        <f>215+159+169+147</f>
        <v>690</v>
      </c>
      <c r="N647" s="24">
        <f>M647/L647</f>
        <v>26.53846153846154</v>
      </c>
      <c r="O647" s="49" t="s">
        <v>1464</v>
      </c>
    </row>
    <row r="648" spans="1:15" x14ac:dyDescent="0.2">
      <c r="A648" s="4">
        <v>1135725</v>
      </c>
      <c r="B648" s="51" t="s">
        <v>1415</v>
      </c>
      <c r="C648" s="2" t="s">
        <v>1432</v>
      </c>
      <c r="D648" s="7">
        <f>2+2+0+1+0+4</f>
        <v>9</v>
      </c>
      <c r="E648" s="7">
        <f>0+0+0+0+0</f>
        <v>0</v>
      </c>
      <c r="F648" s="17">
        <f>13+13+15+3+2+6+12</f>
        <v>64</v>
      </c>
      <c r="G648" s="17">
        <f>2+1+2+2+1+0+1</f>
        <v>9</v>
      </c>
      <c r="H648" s="17">
        <f>119+70+152+18+0+34+69</f>
        <v>462</v>
      </c>
      <c r="I648" s="16">
        <f>H648/(F648-G648)</f>
        <v>8.4</v>
      </c>
      <c r="J648" s="17" t="s">
        <v>438</v>
      </c>
      <c r="K648" s="25">
        <f>66+107+96.1+31+9+13.1+80.1</f>
        <v>402.30000000000007</v>
      </c>
      <c r="L648" s="25">
        <f>12+12+22+7+1+0+16</f>
        <v>70</v>
      </c>
      <c r="M648" s="25">
        <f>260+356+327+100+10+77+260</f>
        <v>1390</v>
      </c>
      <c r="N648" s="24">
        <f>M648/L648</f>
        <v>19.857142857142858</v>
      </c>
      <c r="O648" s="49" t="s">
        <v>1466</v>
      </c>
    </row>
    <row r="649" spans="1:15" x14ac:dyDescent="0.2">
      <c r="A649" s="4">
        <v>1141712</v>
      </c>
      <c r="B649" s="51" t="s">
        <v>1484</v>
      </c>
      <c r="C649" s="2" t="s">
        <v>1494</v>
      </c>
      <c r="D649" s="7">
        <f>0+0+4+2+2+13+0</f>
        <v>21</v>
      </c>
      <c r="E649" s="7">
        <f>0+0+0+0+0+0</f>
        <v>0</v>
      </c>
      <c r="F649" s="17">
        <f>4+12+16+20+26+2</f>
        <v>80</v>
      </c>
      <c r="G649" s="17">
        <f>2+1+4+4+4+0</f>
        <v>15</v>
      </c>
      <c r="H649" s="17">
        <f>5+149+114+161+328+40</f>
        <v>797</v>
      </c>
      <c r="I649" s="16">
        <f>H649/(F649-G649)</f>
        <v>12.261538461538462</v>
      </c>
      <c r="J649" s="17" t="s">
        <v>305</v>
      </c>
      <c r="K649" s="25">
        <f>1+4+66+66.2+59.4+(0.4)+77.4+7</f>
        <v>281.39999999999998</v>
      </c>
      <c r="L649" s="25">
        <f>0+0+11+7+7+13+2</f>
        <v>40</v>
      </c>
      <c r="M649" s="25">
        <f>19+161+178+178+216+18</f>
        <v>770</v>
      </c>
      <c r="N649" s="24">
        <f>M649/L649</f>
        <v>19.25</v>
      </c>
      <c r="O649" s="49" t="s">
        <v>1785</v>
      </c>
    </row>
    <row r="650" spans="1:15" x14ac:dyDescent="0.2">
      <c r="A650" s="4">
        <v>2086157</v>
      </c>
      <c r="B650" s="51" t="s">
        <v>2530</v>
      </c>
      <c r="C650" s="2" t="s">
        <v>2531</v>
      </c>
      <c r="D650" s="7">
        <v>1</v>
      </c>
      <c r="E650" s="7">
        <v>0</v>
      </c>
      <c r="F650" s="17">
        <v>9</v>
      </c>
      <c r="G650" s="17">
        <v>9</v>
      </c>
      <c r="H650" s="17">
        <v>82</v>
      </c>
      <c r="I650" s="16" t="e">
        <f>H650/(F650-G650)</f>
        <v>#DIV/0!</v>
      </c>
      <c r="J650" s="17" t="s">
        <v>400</v>
      </c>
      <c r="K650" s="25">
        <v>32</v>
      </c>
      <c r="L650" s="25">
        <v>21</v>
      </c>
      <c r="M650" s="25">
        <v>58</v>
      </c>
      <c r="N650" s="24">
        <f>M650/L650</f>
        <v>2.7619047619047619</v>
      </c>
      <c r="O650" s="49" t="s">
        <v>2266</v>
      </c>
    </row>
    <row r="651" spans="1:15" x14ac:dyDescent="0.2">
      <c r="A651" s="57"/>
      <c r="B651" s="65" t="s">
        <v>2630</v>
      </c>
      <c r="C651" s="58" t="s">
        <v>2205</v>
      </c>
      <c r="D651" s="59">
        <v>3</v>
      </c>
      <c r="E651" s="59"/>
      <c r="F651" s="60">
        <v>8</v>
      </c>
      <c r="G651" s="60">
        <v>1</v>
      </c>
      <c r="H651" s="60">
        <v>73</v>
      </c>
      <c r="I651" s="61">
        <f>H651/(F651-G651)</f>
        <v>10.428571428571429</v>
      </c>
      <c r="J651" s="60">
        <v>37</v>
      </c>
      <c r="K651" s="62">
        <v>12</v>
      </c>
      <c r="L651" s="62">
        <v>4</v>
      </c>
      <c r="M651" s="62">
        <v>56</v>
      </c>
      <c r="N651" s="63">
        <f>M651/L651</f>
        <v>14</v>
      </c>
      <c r="O651" s="81"/>
    </row>
    <row r="652" spans="1:15" s="5" customFormat="1" x14ac:dyDescent="0.2">
      <c r="A652" s="4"/>
      <c r="B652" s="35" t="s">
        <v>856</v>
      </c>
      <c r="C652" s="2" t="s">
        <v>54</v>
      </c>
      <c r="D652" s="7">
        <f>8+6+7+2+3+1+1</f>
        <v>28</v>
      </c>
      <c r="E652" s="7"/>
      <c r="F652" s="17">
        <f>10+5+1+11+12+1+10+1+1</f>
        <v>52</v>
      </c>
      <c r="G652" s="17">
        <f>2+2+4+1</f>
        <v>9</v>
      </c>
      <c r="H652" s="17">
        <f>123+60+1+164+155+6+409+31+4</f>
        <v>953</v>
      </c>
      <c r="I652" s="16">
        <f>H652/(F652-G652)</f>
        <v>22.162790697674417</v>
      </c>
      <c r="J652" s="17">
        <v>109</v>
      </c>
      <c r="K652" s="25">
        <v>12</v>
      </c>
      <c r="L652" s="25">
        <v>3</v>
      </c>
      <c r="M652" s="25">
        <v>42</v>
      </c>
      <c r="N652" s="24">
        <f>M652/L652</f>
        <v>14</v>
      </c>
      <c r="O652" s="23"/>
    </row>
    <row r="653" spans="1:15" s="5" customFormat="1" x14ac:dyDescent="0.2">
      <c r="A653" s="4">
        <v>667302</v>
      </c>
      <c r="B653" s="34" t="s">
        <v>1333</v>
      </c>
      <c r="C653" s="2"/>
      <c r="D653" s="7">
        <f>0</f>
        <v>0</v>
      </c>
      <c r="E653" s="7">
        <f>0</f>
        <v>0</v>
      </c>
      <c r="F653" s="17">
        <f>12</f>
        <v>12</v>
      </c>
      <c r="G653" s="17">
        <f>1</f>
        <v>1</v>
      </c>
      <c r="H653" s="17">
        <f>249</f>
        <v>249</v>
      </c>
      <c r="I653" s="16">
        <f>H653/(F653-G653)</f>
        <v>22.636363636363637</v>
      </c>
      <c r="J653" s="17">
        <v>64</v>
      </c>
      <c r="K653" s="25">
        <f>47</f>
        <v>47</v>
      </c>
      <c r="L653" s="25">
        <f>7</f>
        <v>7</v>
      </c>
      <c r="M653" s="25">
        <f>220</f>
        <v>220</v>
      </c>
      <c r="N653" s="24">
        <f>M653/L653</f>
        <v>31.428571428571427</v>
      </c>
      <c r="O653" s="49" t="s">
        <v>1372</v>
      </c>
    </row>
    <row r="654" spans="1:15" s="5" customFormat="1" x14ac:dyDescent="0.2">
      <c r="A654" s="4"/>
      <c r="B654" s="34" t="s">
        <v>857</v>
      </c>
      <c r="C654" s="2" t="s">
        <v>317</v>
      </c>
      <c r="D654" s="7">
        <f>0</f>
        <v>0</v>
      </c>
      <c r="E654" s="7"/>
      <c r="F654" s="17">
        <f>3</f>
        <v>3</v>
      </c>
      <c r="G654" s="17">
        <f>0</f>
        <v>0</v>
      </c>
      <c r="H654" s="17">
        <f>31</f>
        <v>31</v>
      </c>
      <c r="I654" s="16">
        <f>H654/(F654-G654)</f>
        <v>10.333333333333334</v>
      </c>
      <c r="J654" s="17">
        <f>22</f>
        <v>22</v>
      </c>
      <c r="K654" s="25">
        <f>17</f>
        <v>17</v>
      </c>
      <c r="L654" s="25">
        <f>5</f>
        <v>5</v>
      </c>
      <c r="M654" s="25">
        <f>93</f>
        <v>93</v>
      </c>
      <c r="N654" s="24">
        <f>M654/L654</f>
        <v>18.600000000000001</v>
      </c>
      <c r="O654" s="23"/>
    </row>
    <row r="655" spans="1:15" s="54" customFormat="1" x14ac:dyDescent="0.2">
      <c r="A655" s="84">
        <v>1725015</v>
      </c>
      <c r="B655" s="35" t="s">
        <v>1697</v>
      </c>
      <c r="C655" s="2" t="s">
        <v>185</v>
      </c>
      <c r="D655" s="7">
        <f>0</f>
        <v>0</v>
      </c>
      <c r="E655" s="7">
        <f>0</f>
        <v>0</v>
      </c>
      <c r="F655" s="17">
        <f>4</f>
        <v>4</v>
      </c>
      <c r="G655" s="17">
        <f>1</f>
        <v>1</v>
      </c>
      <c r="H655" s="17">
        <f>101</f>
        <v>101</v>
      </c>
      <c r="I655" s="16">
        <f>H655/(F655-G655)</f>
        <v>33.666666666666664</v>
      </c>
      <c r="J655" s="17" t="s">
        <v>285</v>
      </c>
      <c r="K655" s="25">
        <f>18</f>
        <v>18</v>
      </c>
      <c r="L655" s="25">
        <f>1</f>
        <v>1</v>
      </c>
      <c r="M655" s="25">
        <f>82</f>
        <v>82</v>
      </c>
      <c r="N655" s="24">
        <f>M655/L655</f>
        <v>82</v>
      </c>
      <c r="O655" s="49" t="s">
        <v>1386</v>
      </c>
    </row>
    <row r="656" spans="1:15" x14ac:dyDescent="0.2">
      <c r="A656" s="4">
        <v>673299</v>
      </c>
      <c r="B656" s="51" t="s">
        <v>1400</v>
      </c>
      <c r="C656" s="2" t="s">
        <v>1433</v>
      </c>
      <c r="D656" s="7">
        <f>1+0+4</f>
        <v>5</v>
      </c>
      <c r="E656" s="7">
        <f>0+0+0</f>
        <v>0</v>
      </c>
      <c r="F656" s="17">
        <f>4+2+4</f>
        <v>10</v>
      </c>
      <c r="G656" s="17">
        <f>1+1+0</f>
        <v>2</v>
      </c>
      <c r="H656" s="17">
        <f>34+20+4</f>
        <v>58</v>
      </c>
      <c r="I656" s="16">
        <f>H656/(F656-G656)</f>
        <v>7.25</v>
      </c>
      <c r="J656" s="17" t="s">
        <v>274</v>
      </c>
      <c r="K656" s="25">
        <f>1</f>
        <v>1</v>
      </c>
      <c r="L656" s="25">
        <f>0</f>
        <v>0</v>
      </c>
      <c r="M656" s="25">
        <f>6</f>
        <v>6</v>
      </c>
      <c r="N656" s="24" t="e">
        <f>M656/L656</f>
        <v>#DIV/0!</v>
      </c>
      <c r="O656" s="49" t="s">
        <v>1499</v>
      </c>
    </row>
    <row r="657" spans="1:15" x14ac:dyDescent="0.2">
      <c r="A657" s="84">
        <v>1758359</v>
      </c>
      <c r="B657" s="35" t="s">
        <v>1885</v>
      </c>
      <c r="C657" s="2" t="s">
        <v>350</v>
      </c>
      <c r="D657" s="7">
        <f>1+2+0</f>
        <v>3</v>
      </c>
      <c r="E657" s="7">
        <f>0+1</f>
        <v>1</v>
      </c>
      <c r="F657" s="17">
        <f>10+11+7</f>
        <v>28</v>
      </c>
      <c r="G657" s="17">
        <f>2+1+1</f>
        <v>4</v>
      </c>
      <c r="H657" s="17">
        <f>68+214+137</f>
        <v>419</v>
      </c>
      <c r="I657" s="16">
        <f>H657/(F657-G657)</f>
        <v>17.458333333333332</v>
      </c>
      <c r="J657" s="17">
        <v>66</v>
      </c>
      <c r="K657" s="25">
        <f>83+62+14</f>
        <v>159</v>
      </c>
      <c r="L657" s="25">
        <f>16+5+3</f>
        <v>24</v>
      </c>
      <c r="M657" s="25">
        <f>232+236+86</f>
        <v>554</v>
      </c>
      <c r="N657" s="24">
        <f>M657/L657</f>
        <v>23.083333333333332</v>
      </c>
      <c r="O657" s="49" t="s">
        <v>1637</v>
      </c>
    </row>
    <row r="658" spans="1:15" x14ac:dyDescent="0.2">
      <c r="A658" s="4">
        <v>692022</v>
      </c>
      <c r="B658" s="34" t="s">
        <v>858</v>
      </c>
      <c r="C658" s="2" t="s">
        <v>43</v>
      </c>
      <c r="D658" s="7">
        <f>5+4+2+3+1+1+1</f>
        <v>17</v>
      </c>
      <c r="E658" s="7">
        <f>0</f>
        <v>0</v>
      </c>
      <c r="F658" s="17">
        <f>12+17+8+15+4+3</f>
        <v>59</v>
      </c>
      <c r="G658" s="17">
        <f>1+1+0+2+1+0</f>
        <v>5</v>
      </c>
      <c r="H658" s="17">
        <f>54+136+67+137+1+2</f>
        <v>397</v>
      </c>
      <c r="I658" s="16">
        <f>H658/(F658-G658)</f>
        <v>7.3518518518518521</v>
      </c>
      <c r="J658" s="17">
        <v>37</v>
      </c>
      <c r="K658" s="25">
        <f>48+70+47+95.2+48.4+(0.4)+10.3</f>
        <v>319.29999999999995</v>
      </c>
      <c r="L658" s="25">
        <f>13+24+13+16+12+3</f>
        <v>81</v>
      </c>
      <c r="M658" s="25">
        <f>206+234+162+315+166+69</f>
        <v>1152</v>
      </c>
      <c r="N658" s="24">
        <f>M658/L658</f>
        <v>14.222222222222221</v>
      </c>
      <c r="O658" s="49" t="s">
        <v>1373</v>
      </c>
    </row>
    <row r="659" spans="1:15" x14ac:dyDescent="0.2">
      <c r="A659" s="4">
        <v>2097254</v>
      </c>
      <c r="B659" s="76" t="s">
        <v>2341</v>
      </c>
      <c r="C659" s="77" t="s">
        <v>2342</v>
      </c>
      <c r="D659" s="7">
        <f>4</f>
        <v>4</v>
      </c>
      <c r="E659" s="7">
        <f>0</f>
        <v>0</v>
      </c>
      <c r="F659" s="17">
        <f>7</f>
        <v>7</v>
      </c>
      <c r="G659" s="17">
        <f>2</f>
        <v>2</v>
      </c>
      <c r="H659" s="17">
        <f>20</f>
        <v>20</v>
      </c>
      <c r="I659" s="16">
        <f>H659/(F659-G659)</f>
        <v>4</v>
      </c>
      <c r="J659" s="17">
        <f>8</f>
        <v>8</v>
      </c>
      <c r="K659" s="25">
        <f>5</f>
        <v>5</v>
      </c>
      <c r="L659" s="25">
        <f>0</f>
        <v>0</v>
      </c>
      <c r="M659" s="25">
        <f>41</f>
        <v>41</v>
      </c>
      <c r="N659" s="24" t="e">
        <f>M659/L659</f>
        <v>#DIV/0!</v>
      </c>
      <c r="O659" s="23"/>
    </row>
    <row r="660" spans="1:15" x14ac:dyDescent="0.2">
      <c r="A660" s="4">
        <v>2304163</v>
      </c>
      <c r="B660" s="35" t="s">
        <v>2481</v>
      </c>
      <c r="C660" s="2" t="s">
        <v>2482</v>
      </c>
      <c r="D660" s="7">
        <v>0</v>
      </c>
      <c r="E660" s="7">
        <v>0</v>
      </c>
      <c r="F660" s="17">
        <v>6</v>
      </c>
      <c r="G660" s="17">
        <v>3</v>
      </c>
      <c r="H660" s="17">
        <v>70</v>
      </c>
      <c r="I660" s="16">
        <f>H660/(F660-G660)</f>
        <v>23.333333333333332</v>
      </c>
      <c r="J660" s="17">
        <v>41</v>
      </c>
      <c r="K660" s="25">
        <v>8</v>
      </c>
      <c r="L660" s="25">
        <v>1</v>
      </c>
      <c r="M660" s="25">
        <v>34</v>
      </c>
      <c r="N660" s="24">
        <f>M660/L660</f>
        <v>34</v>
      </c>
      <c r="O660" s="49" t="s">
        <v>1351</v>
      </c>
    </row>
    <row r="661" spans="1:15" x14ac:dyDescent="0.2">
      <c r="A661" s="4">
        <v>2273328</v>
      </c>
      <c r="B661" s="35" t="s">
        <v>2483</v>
      </c>
      <c r="C661" s="2" t="s">
        <v>185</v>
      </c>
      <c r="D661" s="7">
        <v>1</v>
      </c>
      <c r="E661" s="7">
        <v>0</v>
      </c>
      <c r="F661" s="17">
        <v>7</v>
      </c>
      <c r="G661" s="17">
        <v>1</v>
      </c>
      <c r="H661" s="17">
        <v>16</v>
      </c>
      <c r="I661" s="16">
        <f>H661/(F661-G661)</f>
        <v>2.6666666666666665</v>
      </c>
      <c r="J661" s="17">
        <v>10</v>
      </c>
      <c r="K661" s="25">
        <v>30</v>
      </c>
      <c r="L661" s="25">
        <v>1</v>
      </c>
      <c r="M661" s="25">
        <v>156</v>
      </c>
      <c r="N661" s="24">
        <f>M661/L661</f>
        <v>156</v>
      </c>
      <c r="O661" s="49" t="s">
        <v>2480</v>
      </c>
    </row>
    <row r="662" spans="1:15" s="54" customFormat="1" x14ac:dyDescent="0.2">
      <c r="A662" s="57">
        <v>2175052</v>
      </c>
      <c r="B662" s="65" t="s">
        <v>2343</v>
      </c>
      <c r="C662" s="58" t="s">
        <v>2344</v>
      </c>
      <c r="D662" s="59">
        <f>0+3</f>
        <v>3</v>
      </c>
      <c r="E662" s="59">
        <f>0</f>
        <v>0</v>
      </c>
      <c r="F662" s="60">
        <v>11</v>
      </c>
      <c r="G662" s="60">
        <v>1</v>
      </c>
      <c r="H662" s="60">
        <v>102</v>
      </c>
      <c r="I662" s="61">
        <f>H662/(F662-G662)</f>
        <v>10.199999999999999</v>
      </c>
      <c r="J662" s="60">
        <v>25</v>
      </c>
      <c r="K662" s="62">
        <v>67</v>
      </c>
      <c r="L662" s="62">
        <v>14</v>
      </c>
      <c r="M662" s="62">
        <v>218</v>
      </c>
      <c r="N662" s="63">
        <f>M662/L662</f>
        <v>15.571428571428571</v>
      </c>
      <c r="O662" s="66" t="s">
        <v>1618</v>
      </c>
    </row>
    <row r="663" spans="1:15" s="54" customFormat="1" x14ac:dyDescent="0.2">
      <c r="A663" s="57">
        <v>1903919</v>
      </c>
      <c r="B663" s="65" t="s">
        <v>2108</v>
      </c>
      <c r="C663" s="58" t="s">
        <v>2109</v>
      </c>
      <c r="D663" s="59">
        <f>12+7+3+7</f>
        <v>29</v>
      </c>
      <c r="E663" s="59">
        <f>0+0</f>
        <v>0</v>
      </c>
      <c r="F663" s="60">
        <f>15+14+13+13</f>
        <v>55</v>
      </c>
      <c r="G663" s="60">
        <f>1+3+1+1</f>
        <v>6</v>
      </c>
      <c r="H663" s="60">
        <f>259+409+204+156</f>
        <v>1028</v>
      </c>
      <c r="I663" s="61">
        <f>H663/(F663-G663)</f>
        <v>20.979591836734695</v>
      </c>
      <c r="J663" s="60" t="s">
        <v>434</v>
      </c>
      <c r="K663" s="62">
        <v>0</v>
      </c>
      <c r="L663" s="62">
        <v>0</v>
      </c>
      <c r="M663" s="62">
        <v>0</v>
      </c>
      <c r="N663" s="63" t="e">
        <f>M663/L663</f>
        <v>#DIV/0!</v>
      </c>
      <c r="O663" s="81"/>
    </row>
    <row r="664" spans="1:15" x14ac:dyDescent="0.2">
      <c r="A664" s="64">
        <v>1863188</v>
      </c>
      <c r="B664" s="65" t="s">
        <v>1886</v>
      </c>
      <c r="C664" s="58" t="s">
        <v>1454</v>
      </c>
      <c r="D664" s="59">
        <f>1+8+11</f>
        <v>20</v>
      </c>
      <c r="E664" s="59">
        <f>0+0</f>
        <v>0</v>
      </c>
      <c r="F664" s="60">
        <f>7+13+13+11</f>
        <v>44</v>
      </c>
      <c r="G664" s="60">
        <f>0+0+0</f>
        <v>0</v>
      </c>
      <c r="H664" s="60">
        <f>143+263+236+122</f>
        <v>764</v>
      </c>
      <c r="I664" s="61">
        <f>H664/(F664-G664)</f>
        <v>17.363636363636363</v>
      </c>
      <c r="J664" s="60">
        <v>64</v>
      </c>
      <c r="K664" s="62">
        <f>48+99.1+68.4+23</f>
        <v>238.5</v>
      </c>
      <c r="L664" s="62">
        <f>12+22+7+4</f>
        <v>45</v>
      </c>
      <c r="M664" s="62">
        <f>131+329+271+62</f>
        <v>793</v>
      </c>
      <c r="N664" s="63">
        <f>M664/L664</f>
        <v>17.622222222222224</v>
      </c>
      <c r="O664" s="66" t="s">
        <v>2026</v>
      </c>
    </row>
    <row r="665" spans="1:15" x14ac:dyDescent="0.2">
      <c r="A665" s="4">
        <v>1863521</v>
      </c>
      <c r="B665" s="35" t="s">
        <v>1886</v>
      </c>
      <c r="C665" s="2" t="s">
        <v>1454</v>
      </c>
      <c r="D665" s="7">
        <f>3</f>
        <v>3</v>
      </c>
      <c r="E665" s="7"/>
      <c r="F665" s="17">
        <f>11</f>
        <v>11</v>
      </c>
      <c r="G665" s="17">
        <f>0</f>
        <v>0</v>
      </c>
      <c r="H665" s="17">
        <f>211</f>
        <v>211</v>
      </c>
      <c r="I665" s="16">
        <f>H665/(F665-G665)</f>
        <v>19.181818181818183</v>
      </c>
      <c r="J665" s="17">
        <f>44</f>
        <v>44</v>
      </c>
      <c r="K665" s="25">
        <f>76</f>
        <v>76</v>
      </c>
      <c r="L665" s="25">
        <f>17</f>
        <v>17</v>
      </c>
      <c r="M665" s="25">
        <f>148</f>
        <v>148</v>
      </c>
      <c r="N665" s="24">
        <f>M665/L665</f>
        <v>8.7058823529411757</v>
      </c>
      <c r="O665" s="49" t="s">
        <v>2027</v>
      </c>
    </row>
    <row r="666" spans="1:15" x14ac:dyDescent="0.2">
      <c r="A666" s="4">
        <v>2175054</v>
      </c>
      <c r="B666" s="35" t="s">
        <v>2345</v>
      </c>
      <c r="C666" s="2" t="s">
        <v>2346</v>
      </c>
      <c r="D666" s="7">
        <f>0</f>
        <v>0</v>
      </c>
      <c r="E666" s="7">
        <f>0</f>
        <v>0</v>
      </c>
      <c r="F666" s="17">
        <f>3</f>
        <v>3</v>
      </c>
      <c r="G666" s="17">
        <f>1</f>
        <v>1</v>
      </c>
      <c r="H666" s="17">
        <f>1</f>
        <v>1</v>
      </c>
      <c r="I666" s="16">
        <f>H666/(F666-G666)</f>
        <v>0.5</v>
      </c>
      <c r="J666" s="17">
        <v>1</v>
      </c>
      <c r="K666" s="25">
        <f>12</f>
        <v>12</v>
      </c>
      <c r="L666" s="25">
        <f>4</f>
        <v>4</v>
      </c>
      <c r="M666" s="25">
        <f>36</f>
        <v>36</v>
      </c>
      <c r="N666" s="24">
        <f>M666/L666</f>
        <v>9</v>
      </c>
      <c r="O666" s="49" t="s">
        <v>1810</v>
      </c>
    </row>
    <row r="667" spans="1:15" s="6" customFormat="1" x14ac:dyDescent="0.2">
      <c r="A667" s="84">
        <v>876622</v>
      </c>
      <c r="B667" s="35" t="s">
        <v>1698</v>
      </c>
      <c r="C667" s="2" t="s">
        <v>1699</v>
      </c>
      <c r="D667" s="7">
        <f>0+2+1+2+0</f>
        <v>5</v>
      </c>
      <c r="E667" s="7">
        <f>0+0+0+0</f>
        <v>0</v>
      </c>
      <c r="F667" s="17">
        <f>10+9+11+9+4</f>
        <v>43</v>
      </c>
      <c r="G667" s="17">
        <f>2+4+1+1+1</f>
        <v>9</v>
      </c>
      <c r="H667" s="17">
        <f>156+149+225+135+27</f>
        <v>692</v>
      </c>
      <c r="I667" s="16">
        <f>H667/(F667-G667)</f>
        <v>20.352941176470587</v>
      </c>
      <c r="J667" s="17">
        <v>71</v>
      </c>
      <c r="K667" s="25">
        <f>37+44+58+44+3</f>
        <v>186</v>
      </c>
      <c r="L667" s="25">
        <f>8+13+15+6+1</f>
        <v>43</v>
      </c>
      <c r="M667" s="25">
        <f>72+98+68+120+14</f>
        <v>372</v>
      </c>
      <c r="N667" s="24">
        <f>M667/L667</f>
        <v>8.6511627906976738</v>
      </c>
      <c r="O667" s="49" t="s">
        <v>2270</v>
      </c>
    </row>
    <row r="668" spans="1:15" s="54" customFormat="1" x14ac:dyDescent="0.2">
      <c r="A668" s="84">
        <v>1615401</v>
      </c>
      <c r="B668" s="35" t="s">
        <v>1700</v>
      </c>
      <c r="C668" s="2" t="s">
        <v>1701</v>
      </c>
      <c r="D668" s="7">
        <f>6+3</f>
        <v>9</v>
      </c>
      <c r="E668" s="7">
        <f>0+0</f>
        <v>0</v>
      </c>
      <c r="F668" s="17">
        <f>14+9</f>
        <v>23</v>
      </c>
      <c r="G668" s="17">
        <f>1+2</f>
        <v>3</v>
      </c>
      <c r="H668" s="17">
        <f>466+266</f>
        <v>732</v>
      </c>
      <c r="I668" s="16">
        <f>H668/(F668-G668)</f>
        <v>36.6</v>
      </c>
      <c r="J668" s="17">
        <v>97</v>
      </c>
      <c r="K668" s="25">
        <f>27+7</f>
        <v>34</v>
      </c>
      <c r="L668" s="25">
        <f>5+1</f>
        <v>6</v>
      </c>
      <c r="M668" s="25">
        <f>86+28</f>
        <v>114</v>
      </c>
      <c r="N668" s="24">
        <f>M668/L668</f>
        <v>19</v>
      </c>
      <c r="O668" s="49" t="s">
        <v>1796</v>
      </c>
    </row>
    <row r="669" spans="1:15" s="54" customFormat="1" x14ac:dyDescent="0.2">
      <c r="A669" s="57"/>
      <c r="B669" s="65" t="s">
        <v>2755</v>
      </c>
      <c r="C669" s="58" t="s">
        <v>1439</v>
      </c>
      <c r="D669" s="59">
        <v>3</v>
      </c>
      <c r="E669" s="59"/>
      <c r="F669" s="60">
        <v>10</v>
      </c>
      <c r="G669" s="60">
        <v>1</v>
      </c>
      <c r="H669" s="60">
        <v>161</v>
      </c>
      <c r="I669" s="61">
        <f>H669/(F669-G669)</f>
        <v>17.888888888888889</v>
      </c>
      <c r="J669" s="60">
        <v>64</v>
      </c>
      <c r="K669" s="62">
        <v>37.4</v>
      </c>
      <c r="L669" s="62">
        <v>5</v>
      </c>
      <c r="M669" s="62">
        <v>129</v>
      </c>
      <c r="N669" s="63">
        <f>M669/L669</f>
        <v>25.8</v>
      </c>
      <c r="O669" s="66" t="s">
        <v>2274</v>
      </c>
    </row>
    <row r="670" spans="1:15" x14ac:dyDescent="0.2">
      <c r="A670" s="4"/>
      <c r="B670" s="35" t="s">
        <v>860</v>
      </c>
      <c r="C670" s="2" t="s">
        <v>16</v>
      </c>
      <c r="D670" s="7">
        <f>7+1</f>
        <v>8</v>
      </c>
      <c r="E670" s="7"/>
      <c r="F670" s="17">
        <f>7+2+12+1</f>
        <v>22</v>
      </c>
      <c r="G670" s="17">
        <f>1+1</f>
        <v>2</v>
      </c>
      <c r="H670" s="17">
        <f>172+5+421</f>
        <v>598</v>
      </c>
      <c r="I670" s="16">
        <f>H670/(F670-G670)</f>
        <v>29.9</v>
      </c>
      <c r="J670" s="17">
        <v>84</v>
      </c>
      <c r="K670" s="25">
        <f>60+63+10</f>
        <v>133</v>
      </c>
      <c r="L670" s="25">
        <f>19+12+1</f>
        <v>32</v>
      </c>
      <c r="M670" s="25">
        <f>137+140+12</f>
        <v>289</v>
      </c>
      <c r="N670" s="24">
        <f>M670/L670</f>
        <v>9.03125</v>
      </c>
      <c r="O670" s="23"/>
    </row>
    <row r="671" spans="1:15" x14ac:dyDescent="0.2">
      <c r="A671" s="4"/>
      <c r="B671" s="35" t="s">
        <v>859</v>
      </c>
      <c r="C671" s="2" t="s">
        <v>11</v>
      </c>
      <c r="D671" s="7">
        <f>2+1+2</f>
        <v>5</v>
      </c>
      <c r="E671" s="7"/>
      <c r="F671" s="17">
        <f>12+2+2+1+8</f>
        <v>25</v>
      </c>
      <c r="G671" s="17">
        <f>1+1</f>
        <v>2</v>
      </c>
      <c r="H671" s="17">
        <f>172+14+33+6+73</f>
        <v>298</v>
      </c>
      <c r="I671" s="16">
        <f>H671/(F671-G671)</f>
        <v>12.956521739130435</v>
      </c>
      <c r="J671" s="17">
        <v>37</v>
      </c>
      <c r="K671" s="25">
        <f>79+10+36</f>
        <v>125</v>
      </c>
      <c r="L671" s="25">
        <f>18+3+3</f>
        <v>24</v>
      </c>
      <c r="M671" s="25">
        <f>151+24+86</f>
        <v>261</v>
      </c>
      <c r="N671" s="24">
        <f>M671/L671</f>
        <v>10.875</v>
      </c>
      <c r="O671" s="23"/>
    </row>
    <row r="672" spans="1:15" x14ac:dyDescent="0.2">
      <c r="A672" s="4">
        <v>663879</v>
      </c>
      <c r="B672" s="34" t="s">
        <v>1330</v>
      </c>
      <c r="C672" s="2"/>
      <c r="D672" s="7">
        <f>0</f>
        <v>0</v>
      </c>
      <c r="E672" s="7">
        <f>0</f>
        <v>0</v>
      </c>
      <c r="F672" s="17">
        <f>12</f>
        <v>12</v>
      </c>
      <c r="G672" s="17">
        <f>2</f>
        <v>2</v>
      </c>
      <c r="H672" s="17">
        <f>193</f>
        <v>193</v>
      </c>
      <c r="I672" s="16">
        <f>H672/(F672-G672)</f>
        <v>19.3</v>
      </c>
      <c r="J672" s="17" t="s">
        <v>1348</v>
      </c>
      <c r="K672" s="25">
        <f>51</f>
        <v>51</v>
      </c>
      <c r="L672" s="25">
        <f>7</f>
        <v>7</v>
      </c>
      <c r="M672" s="25">
        <f>309</f>
        <v>309</v>
      </c>
      <c r="N672" s="24">
        <f>M672/L672</f>
        <v>44.142857142857146</v>
      </c>
      <c r="O672" s="49" t="s">
        <v>1374</v>
      </c>
    </row>
    <row r="673" spans="1:15" s="54" customFormat="1" x14ac:dyDescent="0.2">
      <c r="A673" s="57"/>
      <c r="B673" s="90" t="s">
        <v>2683</v>
      </c>
      <c r="C673" s="91" t="s">
        <v>2684</v>
      </c>
      <c r="D673" s="59">
        <v>0</v>
      </c>
      <c r="E673" s="59"/>
      <c r="F673" s="60">
        <v>6</v>
      </c>
      <c r="G673" s="60">
        <v>1</v>
      </c>
      <c r="H673" s="60">
        <v>36</v>
      </c>
      <c r="I673" s="61">
        <f>H673/(F673-G673)</f>
        <v>7.2</v>
      </c>
      <c r="J673" s="60">
        <v>32</v>
      </c>
      <c r="K673" s="62">
        <v>21</v>
      </c>
      <c r="L673" s="62">
        <v>0</v>
      </c>
      <c r="M673" s="62">
        <v>120</v>
      </c>
      <c r="N673" s="63" t="e">
        <f>M673/L673</f>
        <v>#DIV/0!</v>
      </c>
      <c r="O673" s="81"/>
    </row>
    <row r="674" spans="1:15" s="54" customFormat="1" x14ac:dyDescent="0.2">
      <c r="A674" s="4">
        <v>1909908</v>
      </c>
      <c r="B674" s="35" t="s">
        <v>2110</v>
      </c>
      <c r="C674" s="2" t="s">
        <v>2111</v>
      </c>
      <c r="D674" s="7">
        <f>1</f>
        <v>1</v>
      </c>
      <c r="E674" s="7"/>
      <c r="F674" s="17">
        <f>5</f>
        <v>5</v>
      </c>
      <c r="G674" s="17">
        <f>2</f>
        <v>2</v>
      </c>
      <c r="H674" s="17">
        <f>13</f>
        <v>13</v>
      </c>
      <c r="I674" s="16">
        <f>H674/(F674-G674)</f>
        <v>4.333333333333333</v>
      </c>
      <c r="J674" s="17">
        <v>7</v>
      </c>
      <c r="K674" s="25">
        <f>4</f>
        <v>4</v>
      </c>
      <c r="L674" s="25">
        <f>0</f>
        <v>0</v>
      </c>
      <c r="M674" s="25">
        <f>29</f>
        <v>29</v>
      </c>
      <c r="N674" s="24" t="e">
        <f>M674/L674</f>
        <v>#DIV/0!</v>
      </c>
      <c r="O674" s="49" t="s">
        <v>2271</v>
      </c>
    </row>
    <row r="675" spans="1:15" x14ac:dyDescent="0.2">
      <c r="A675" s="4">
        <v>985539</v>
      </c>
      <c r="B675" s="35" t="s">
        <v>2112</v>
      </c>
      <c r="C675" s="2" t="s">
        <v>2113</v>
      </c>
      <c r="D675" s="7">
        <f>0</f>
        <v>0</v>
      </c>
      <c r="E675" s="7"/>
      <c r="F675" s="17">
        <f>8</f>
        <v>8</v>
      </c>
      <c r="G675" s="17">
        <f>1</f>
        <v>1</v>
      </c>
      <c r="H675" s="17">
        <f>30</f>
        <v>30</v>
      </c>
      <c r="I675" s="16">
        <f>H675/(F675-G675)</f>
        <v>4.2857142857142856</v>
      </c>
      <c r="J675" s="17">
        <v>17</v>
      </c>
      <c r="K675" s="25">
        <f>19</f>
        <v>19</v>
      </c>
      <c r="L675" s="25">
        <f>4</f>
        <v>4</v>
      </c>
      <c r="M675" s="25">
        <f>79</f>
        <v>79</v>
      </c>
      <c r="N675" s="24">
        <f>M675/L675</f>
        <v>19.75</v>
      </c>
      <c r="O675" s="49" t="s">
        <v>1803</v>
      </c>
    </row>
    <row r="676" spans="1:15" x14ac:dyDescent="0.2">
      <c r="A676" s="57"/>
      <c r="B676" s="65" t="s">
        <v>2747</v>
      </c>
      <c r="C676" s="58" t="s">
        <v>2748</v>
      </c>
      <c r="D676" s="59">
        <v>2</v>
      </c>
      <c r="E676" s="59"/>
      <c r="F676" s="60">
        <v>13</v>
      </c>
      <c r="G676" s="60">
        <v>3</v>
      </c>
      <c r="H676" s="60">
        <v>66</v>
      </c>
      <c r="I676" s="61">
        <f>H676/(F676-G676)</f>
        <v>6.6</v>
      </c>
      <c r="J676" s="60" t="s">
        <v>420</v>
      </c>
      <c r="K676" s="62">
        <v>17.5</v>
      </c>
      <c r="L676" s="62">
        <v>4</v>
      </c>
      <c r="M676" s="62">
        <v>79</v>
      </c>
      <c r="N676" s="63">
        <f>M676/L676</f>
        <v>19.75</v>
      </c>
      <c r="O676" s="66" t="s">
        <v>1379</v>
      </c>
    </row>
    <row r="677" spans="1:15" x14ac:dyDescent="0.2">
      <c r="A677" s="4"/>
      <c r="B677" s="35" t="s">
        <v>861</v>
      </c>
      <c r="C677" s="2" t="s">
        <v>318</v>
      </c>
      <c r="D677" s="7">
        <f>9+5+1+9+0</f>
        <v>24</v>
      </c>
      <c r="E677" s="7"/>
      <c r="F677" s="17">
        <f>9+15+9+1+9+2+7+3</f>
        <v>55</v>
      </c>
      <c r="G677" s="17">
        <f>1+2+1+2+0</f>
        <v>6</v>
      </c>
      <c r="H677" s="17">
        <f>27+73+15+2+34+6+69+21</f>
        <v>247</v>
      </c>
      <c r="I677" s="16">
        <f>H677/(F677-G677)</f>
        <v>5.0408163265306118</v>
      </c>
      <c r="J677" s="17">
        <v>30</v>
      </c>
      <c r="K677" s="25">
        <f>9+55+4+8+14.3+21</f>
        <v>111.3</v>
      </c>
      <c r="L677" s="25">
        <f>3+8+1+2+2+9</f>
        <v>25</v>
      </c>
      <c r="M677" s="25">
        <f>46+142+9+39+32+93</f>
        <v>361</v>
      </c>
      <c r="N677" s="24">
        <f>M677/L677</f>
        <v>14.44</v>
      </c>
      <c r="O677" s="23"/>
    </row>
    <row r="678" spans="1:15" x14ac:dyDescent="0.2">
      <c r="A678" s="4">
        <v>701925</v>
      </c>
      <c r="B678" s="35" t="s">
        <v>1329</v>
      </c>
      <c r="C678" s="2" t="s">
        <v>115</v>
      </c>
      <c r="D678" s="7">
        <f>53+4+8+3+4+8+12+1+7+8+5+15+6+3+8</f>
        <v>145</v>
      </c>
      <c r="E678" s="7">
        <f>0+0+0+0+0</f>
        <v>0</v>
      </c>
      <c r="F678" s="17">
        <f>87+9+11+10+12+16+12+1+11+10+11+12+10+8+12</f>
        <v>232</v>
      </c>
      <c r="G678" s="17">
        <f>9+3+2+2+1+2+1+2+2+2+3+1+1+5</f>
        <v>36</v>
      </c>
      <c r="H678" s="17">
        <f>2138+181+102+162+305+457+271+4+169+299+182+379+75+134+184</f>
        <v>5042</v>
      </c>
      <c r="I678" s="16">
        <f>H678/(F678-G678)</f>
        <v>25.724489795918366</v>
      </c>
      <c r="J678" s="17" t="s">
        <v>1349</v>
      </c>
      <c r="K678" s="25">
        <f>89+136+124+100+144+157+124.4+3+50+114+117.5+(0.4)+161.4+(0.4)+90.3+20+50</f>
        <v>1481.4000000000003</v>
      </c>
      <c r="L678" s="25">
        <f>177+24+21+23+26+27+25+1+14+25+24+31+10+2+5</f>
        <v>435</v>
      </c>
      <c r="M678" s="25">
        <f>2106+463+423+267+375+478+413+11+179+315+183+362+199+53+141</f>
        <v>5968</v>
      </c>
      <c r="N678" s="24">
        <f>M678/L678</f>
        <v>13.719540229885057</v>
      </c>
      <c r="O678" s="49" t="s">
        <v>1504</v>
      </c>
    </row>
    <row r="679" spans="1:15" x14ac:dyDescent="0.2">
      <c r="A679" s="4">
        <v>1597</v>
      </c>
      <c r="B679" s="34" t="s">
        <v>1328</v>
      </c>
      <c r="C679" s="2" t="s">
        <v>1434</v>
      </c>
      <c r="D679" s="7">
        <f>68+6+8+2+12+4+1+3+4+8+5+3+7+5</f>
        <v>136</v>
      </c>
      <c r="E679" s="7">
        <f>0+0+0+0</f>
        <v>0</v>
      </c>
      <c r="F679" s="17">
        <f>108+14+14+2+15+12+1+14+11+14+13+12+13+14</f>
        <v>257</v>
      </c>
      <c r="G679" s="17">
        <f>9+2+0+2+1+0+0+0+0</f>
        <v>14</v>
      </c>
      <c r="H679" s="17">
        <f>4073+534+369+32+527+498+9+306+301+497+456+525+374+422</f>
        <v>8923</v>
      </c>
      <c r="I679" s="16">
        <f>H679/(F679-G679)</f>
        <v>36.720164609053498</v>
      </c>
      <c r="J679" s="17" t="s">
        <v>424</v>
      </c>
      <c r="K679" s="25">
        <f>981+180+161+28+134+120.4+12+138+105.3+(0.4)+162.5+(0.4)+186.3+130.5+(0.4)+181.4+(0.4)+157.4</f>
        <v>2679.4000000000005</v>
      </c>
      <c r="L679" s="25">
        <f>203+28+27+4+20+29+1+24+19+36+43+22+29+44</f>
        <v>529</v>
      </c>
      <c r="M679" s="25">
        <f>2305+598+415+64+383+375+36+338+286+413+438+381+415+367</f>
        <v>6814</v>
      </c>
      <c r="N679" s="24">
        <f>M679/L679</f>
        <v>12.880907372400756</v>
      </c>
      <c r="O679" s="49" t="s">
        <v>1505</v>
      </c>
    </row>
    <row r="680" spans="1:15" s="6" customFormat="1" x14ac:dyDescent="0.2">
      <c r="A680" s="84">
        <v>152633</v>
      </c>
      <c r="B680" s="85" t="s">
        <v>1545</v>
      </c>
      <c r="C680" s="2" t="s">
        <v>1546</v>
      </c>
      <c r="D680" s="7">
        <f>1+1</f>
        <v>2</v>
      </c>
      <c r="E680" s="7">
        <f>0+0</f>
        <v>0</v>
      </c>
      <c r="F680" s="17">
        <f>12+9</f>
        <v>21</v>
      </c>
      <c r="G680" s="17">
        <f>1+0</f>
        <v>1</v>
      </c>
      <c r="H680" s="17">
        <f>205+132</f>
        <v>337</v>
      </c>
      <c r="I680" s="16">
        <f>H680/(F680-G680)</f>
        <v>16.850000000000001</v>
      </c>
      <c r="J680" s="17" t="s">
        <v>355</v>
      </c>
      <c r="K680" s="25">
        <f>48+42</f>
        <v>90</v>
      </c>
      <c r="L680" s="25">
        <f>8+5</f>
        <v>13</v>
      </c>
      <c r="M680" s="25">
        <f>180+176</f>
        <v>356</v>
      </c>
      <c r="N680" s="24">
        <f>M680/L680</f>
        <v>27.384615384615383</v>
      </c>
      <c r="O680" s="49" t="s">
        <v>1512</v>
      </c>
    </row>
    <row r="681" spans="1:15" s="5" customFormat="1" x14ac:dyDescent="0.2">
      <c r="A681" s="84">
        <v>1773820</v>
      </c>
      <c r="B681" s="35" t="s">
        <v>1545</v>
      </c>
      <c r="C681" s="2" t="s">
        <v>1546</v>
      </c>
      <c r="D681" s="7">
        <f>4</f>
        <v>4</v>
      </c>
      <c r="E681" s="7">
        <f>0</f>
        <v>0</v>
      </c>
      <c r="F681" s="17">
        <f>10</f>
        <v>10</v>
      </c>
      <c r="G681" s="17">
        <f>0</f>
        <v>0</v>
      </c>
      <c r="H681" s="17">
        <f>125</f>
        <v>125</v>
      </c>
      <c r="I681" s="16">
        <f>H681/(F681-G681)</f>
        <v>12.5</v>
      </c>
      <c r="J681" s="17">
        <v>82</v>
      </c>
      <c r="K681" s="25">
        <f>40</f>
        <v>40</v>
      </c>
      <c r="L681" s="25">
        <f>10</f>
        <v>10</v>
      </c>
      <c r="M681" s="25">
        <f>134</f>
        <v>134</v>
      </c>
      <c r="N681" s="24">
        <f>M681/L681</f>
        <v>13.4</v>
      </c>
      <c r="O681" s="49" t="s">
        <v>2027</v>
      </c>
    </row>
    <row r="682" spans="1:15" x14ac:dyDescent="0.2">
      <c r="A682" s="57">
        <v>2261059</v>
      </c>
      <c r="B682" s="67" t="s">
        <v>2586</v>
      </c>
      <c r="C682" s="58" t="s">
        <v>2587</v>
      </c>
      <c r="D682" s="59">
        <f>2+2</f>
        <v>4</v>
      </c>
      <c r="E682" s="59">
        <v>0</v>
      </c>
      <c r="F682" s="60">
        <f>7+6</f>
        <v>13</v>
      </c>
      <c r="G682" s="60">
        <v>0</v>
      </c>
      <c r="H682" s="60">
        <f>24+21</f>
        <v>45</v>
      </c>
      <c r="I682" s="61">
        <f>H682/(F682-G682)</f>
        <v>3.4615384615384617</v>
      </c>
      <c r="J682" s="60">
        <v>10</v>
      </c>
      <c r="K682" s="62">
        <v>0</v>
      </c>
      <c r="L682" s="62">
        <v>0</v>
      </c>
      <c r="M682" s="62">
        <v>0</v>
      </c>
      <c r="N682" s="63" t="e">
        <f>M682/L682</f>
        <v>#DIV/0!</v>
      </c>
      <c r="O682" s="66"/>
    </row>
    <row r="683" spans="1:15" x14ac:dyDescent="0.2">
      <c r="A683" s="4">
        <v>2272567</v>
      </c>
      <c r="B683" s="34" t="s">
        <v>2536</v>
      </c>
      <c r="C683" s="2" t="s">
        <v>2537</v>
      </c>
      <c r="D683" s="7">
        <v>0</v>
      </c>
      <c r="E683" s="7">
        <v>0</v>
      </c>
      <c r="F683" s="17">
        <v>6</v>
      </c>
      <c r="G683" s="17">
        <v>6</v>
      </c>
      <c r="H683" s="17">
        <v>9</v>
      </c>
      <c r="I683" s="16" t="e">
        <f>H683/(F683-G683)</f>
        <v>#DIV/0!</v>
      </c>
      <c r="J683" s="17" t="s">
        <v>289</v>
      </c>
      <c r="K683" s="25">
        <v>11</v>
      </c>
      <c r="L683" s="25">
        <v>2</v>
      </c>
      <c r="M683" s="25">
        <v>43</v>
      </c>
      <c r="N683" s="24">
        <f>M683/L683</f>
        <v>21.5</v>
      </c>
      <c r="O683" s="49" t="s">
        <v>1367</v>
      </c>
    </row>
    <row r="684" spans="1:15" s="54" customFormat="1" x14ac:dyDescent="0.2">
      <c r="A684" s="84">
        <v>1419538</v>
      </c>
      <c r="B684" s="35" t="s">
        <v>1887</v>
      </c>
      <c r="C684" s="2" t="s">
        <v>1888</v>
      </c>
      <c r="D684" s="7">
        <f>0+0</f>
        <v>0</v>
      </c>
      <c r="E684" s="7">
        <f>0</f>
        <v>0</v>
      </c>
      <c r="F684" s="17">
        <f>6</f>
        <v>6</v>
      </c>
      <c r="G684" s="17">
        <f>1</f>
        <v>1</v>
      </c>
      <c r="H684" s="17">
        <f>4</f>
        <v>4</v>
      </c>
      <c r="I684" s="16">
        <f>H684/(F684-G684)</f>
        <v>0.8</v>
      </c>
      <c r="J684" s="17">
        <v>2</v>
      </c>
      <c r="K684" s="25">
        <f>1+2</f>
        <v>3</v>
      </c>
      <c r="L684" s="25">
        <f>0+0</f>
        <v>0</v>
      </c>
      <c r="M684" s="25">
        <f>10+13</f>
        <v>23</v>
      </c>
      <c r="N684" s="24" t="e">
        <f>M684/L684</f>
        <v>#DIV/0!</v>
      </c>
      <c r="O684" s="49" t="s">
        <v>2272</v>
      </c>
    </row>
    <row r="685" spans="1:15" x14ac:dyDescent="0.2">
      <c r="A685" s="4">
        <v>1893046</v>
      </c>
      <c r="B685" s="35" t="s">
        <v>2114</v>
      </c>
      <c r="C685" s="2" t="s">
        <v>2115</v>
      </c>
      <c r="D685" s="7">
        <f>0+0+0</f>
        <v>0</v>
      </c>
      <c r="E685" s="7">
        <f>0+0</f>
        <v>0</v>
      </c>
      <c r="F685" s="17">
        <f>7+4+7</f>
        <v>18</v>
      </c>
      <c r="G685" s="17">
        <f>7+2+1</f>
        <v>10</v>
      </c>
      <c r="H685" s="17">
        <f>29+21+13</f>
        <v>63</v>
      </c>
      <c r="I685" s="16">
        <f>H685/(F685-G685)</f>
        <v>7.875</v>
      </c>
      <c r="J685" s="17" t="s">
        <v>279</v>
      </c>
      <c r="K685" s="25">
        <f>15.1+6+22</f>
        <v>43.1</v>
      </c>
      <c r="L685" s="25">
        <f>1+4+3</f>
        <v>8</v>
      </c>
      <c r="M685" s="25">
        <f>62+26+89</f>
        <v>177</v>
      </c>
      <c r="N685" s="24">
        <f>M685/L685</f>
        <v>22.125</v>
      </c>
      <c r="O685" s="49" t="s">
        <v>1626</v>
      </c>
    </row>
    <row r="686" spans="1:15" x14ac:dyDescent="0.2">
      <c r="A686" s="4"/>
      <c r="B686" s="35" t="s">
        <v>862</v>
      </c>
      <c r="C686" s="2" t="s">
        <v>16</v>
      </c>
      <c r="D686" s="7">
        <v>2</v>
      </c>
      <c r="E686" s="7"/>
      <c r="F686" s="17">
        <v>3</v>
      </c>
      <c r="G686" s="17">
        <v>1</v>
      </c>
      <c r="H686" s="17">
        <v>11</v>
      </c>
      <c r="I686" s="16">
        <f>H686/(F686-G686)</f>
        <v>5.5</v>
      </c>
      <c r="J686" s="17">
        <v>11</v>
      </c>
      <c r="K686" s="25">
        <v>17</v>
      </c>
      <c r="L686" s="25">
        <v>3</v>
      </c>
      <c r="M686" s="25">
        <v>45</v>
      </c>
      <c r="N686" s="24">
        <f>M686/L686</f>
        <v>15</v>
      </c>
      <c r="O686" s="23"/>
    </row>
    <row r="687" spans="1:15" x14ac:dyDescent="0.2">
      <c r="A687" s="4"/>
      <c r="B687" s="34" t="s">
        <v>863</v>
      </c>
      <c r="C687" s="2" t="s">
        <v>319</v>
      </c>
      <c r="D687" s="7">
        <f>0</f>
        <v>0</v>
      </c>
      <c r="E687" s="7"/>
      <c r="F687" s="17">
        <f>3</f>
        <v>3</v>
      </c>
      <c r="G687" s="17">
        <f>2</f>
        <v>2</v>
      </c>
      <c r="H687" s="17">
        <f>59</f>
        <v>59</v>
      </c>
      <c r="I687" s="16">
        <f>H687/(F687-G687)</f>
        <v>59</v>
      </c>
      <c r="J687" s="17" t="s">
        <v>320</v>
      </c>
      <c r="K687" s="25">
        <f>2</f>
        <v>2</v>
      </c>
      <c r="L687" s="25">
        <f>0</f>
        <v>0</v>
      </c>
      <c r="M687" s="25">
        <f>15</f>
        <v>15</v>
      </c>
      <c r="N687" s="24" t="e">
        <f>M687/L687</f>
        <v>#DIV/0!</v>
      </c>
      <c r="O687" s="23"/>
    </row>
    <row r="688" spans="1:15" x14ac:dyDescent="0.2">
      <c r="A688" s="4"/>
      <c r="B688" s="34" t="s">
        <v>864</v>
      </c>
      <c r="C688" s="2" t="s">
        <v>321</v>
      </c>
      <c r="D688" s="7">
        <f>0</f>
        <v>0</v>
      </c>
      <c r="E688" s="7"/>
      <c r="F688" s="17">
        <f>3</f>
        <v>3</v>
      </c>
      <c r="G688" s="17">
        <f>1</f>
        <v>1</v>
      </c>
      <c r="H688" s="17">
        <f>44</f>
        <v>44</v>
      </c>
      <c r="I688" s="16">
        <f>H688/(F688-G688)</f>
        <v>22</v>
      </c>
      <c r="J688" s="17">
        <v>23</v>
      </c>
      <c r="K688" s="25">
        <f>2</f>
        <v>2</v>
      </c>
      <c r="L688" s="25">
        <f>0</f>
        <v>0</v>
      </c>
      <c r="M688" s="25">
        <f>15</f>
        <v>15</v>
      </c>
      <c r="N688" s="24" t="e">
        <f>M688/L688</f>
        <v>#DIV/0!</v>
      </c>
      <c r="O688" s="23"/>
    </row>
    <row r="689" spans="1:15" x14ac:dyDescent="0.2">
      <c r="A689" s="4"/>
      <c r="B689" s="34" t="s">
        <v>865</v>
      </c>
      <c r="C689" s="2" t="s">
        <v>322</v>
      </c>
      <c r="D689" s="7">
        <f>0</f>
        <v>0</v>
      </c>
      <c r="E689" s="7"/>
      <c r="F689" s="17">
        <f>1</f>
        <v>1</v>
      </c>
      <c r="G689" s="17">
        <f>1</f>
        <v>1</v>
      </c>
      <c r="H689" s="17">
        <v>2</v>
      </c>
      <c r="I689" s="16" t="e">
        <f>H689/(F689-G689)</f>
        <v>#DIV/0!</v>
      </c>
      <c r="J689" s="17" t="s">
        <v>323</v>
      </c>
      <c r="K689" s="25"/>
      <c r="L689" s="25"/>
      <c r="M689" s="25"/>
      <c r="N689" s="24" t="e">
        <f>M689/L689</f>
        <v>#DIV/0!</v>
      </c>
      <c r="O689" s="23"/>
    </row>
    <row r="690" spans="1:15" x14ac:dyDescent="0.2">
      <c r="A690" s="4"/>
      <c r="B690" s="34" t="s">
        <v>866</v>
      </c>
      <c r="C690" s="2" t="s">
        <v>324</v>
      </c>
      <c r="D690" s="7">
        <f>0</f>
        <v>0</v>
      </c>
      <c r="E690" s="7"/>
      <c r="F690" s="17">
        <f>4</f>
        <v>4</v>
      </c>
      <c r="G690" s="17">
        <f>0</f>
        <v>0</v>
      </c>
      <c r="H690" s="17">
        <f>68</f>
        <v>68</v>
      </c>
      <c r="I690" s="16">
        <f>H690/(F690-G690)</f>
        <v>17</v>
      </c>
      <c r="J690" s="17">
        <v>39</v>
      </c>
      <c r="K690" s="25">
        <f>25</f>
        <v>25</v>
      </c>
      <c r="L690" s="25">
        <f>6</f>
        <v>6</v>
      </c>
      <c r="M690" s="25">
        <f>129</f>
        <v>129</v>
      </c>
      <c r="N690" s="24">
        <f>M690/L690</f>
        <v>21.5</v>
      </c>
      <c r="O690" s="23"/>
    </row>
    <row r="691" spans="1:15" s="54" customFormat="1" x14ac:dyDescent="0.2">
      <c r="A691" s="4"/>
      <c r="B691" s="35" t="s">
        <v>867</v>
      </c>
      <c r="C691" s="2" t="s">
        <v>20</v>
      </c>
      <c r="D691" s="7">
        <v>4</v>
      </c>
      <c r="E691" s="7"/>
      <c r="F691" s="17">
        <v>12</v>
      </c>
      <c r="G691" s="17">
        <v>1</v>
      </c>
      <c r="H691" s="17">
        <v>68</v>
      </c>
      <c r="I691" s="16">
        <f>H691/(F691-G691)</f>
        <v>6.1818181818181817</v>
      </c>
      <c r="J691" s="17">
        <v>16</v>
      </c>
      <c r="K691" s="25">
        <v>18</v>
      </c>
      <c r="L691" s="25">
        <v>3</v>
      </c>
      <c r="M691" s="25">
        <v>7</v>
      </c>
      <c r="N691" s="24">
        <f>M691/L691</f>
        <v>2.3333333333333335</v>
      </c>
      <c r="O691" s="23"/>
    </row>
    <row r="692" spans="1:15" x14ac:dyDescent="0.2">
      <c r="A692" s="4"/>
      <c r="B692" s="34" t="s">
        <v>868</v>
      </c>
      <c r="C692" s="2" t="s">
        <v>254</v>
      </c>
      <c r="D692" s="7">
        <f>2</f>
        <v>2</v>
      </c>
      <c r="E692" s="7"/>
      <c r="F692" s="17">
        <f>1</f>
        <v>1</v>
      </c>
      <c r="G692" s="17">
        <f>0</f>
        <v>0</v>
      </c>
      <c r="H692" s="17">
        <v>12</v>
      </c>
      <c r="I692" s="16">
        <f>H692/(F692-G692)</f>
        <v>12</v>
      </c>
      <c r="J692" s="17">
        <v>12</v>
      </c>
      <c r="K692" s="25">
        <f>9</f>
        <v>9</v>
      </c>
      <c r="L692" s="25">
        <f>2</f>
        <v>2</v>
      </c>
      <c r="M692" s="25">
        <f>21</f>
        <v>21</v>
      </c>
      <c r="N692" s="24">
        <f>M692/L692</f>
        <v>10.5</v>
      </c>
      <c r="O692" s="23"/>
    </row>
    <row r="693" spans="1:15" x14ac:dyDescent="0.2">
      <c r="A693" s="57">
        <v>2235536</v>
      </c>
      <c r="B693" s="67" t="s">
        <v>2606</v>
      </c>
      <c r="C693" s="58" t="s">
        <v>2607</v>
      </c>
      <c r="D693" s="59">
        <f>1+1</f>
        <v>2</v>
      </c>
      <c r="E693" s="59">
        <v>0</v>
      </c>
      <c r="F693" s="60">
        <f>7+8</f>
        <v>15</v>
      </c>
      <c r="G693" s="60">
        <f>1+2</f>
        <v>3</v>
      </c>
      <c r="H693" s="60">
        <f>53+62</f>
        <v>115</v>
      </c>
      <c r="I693" s="61">
        <f>H693/(F693-G693)</f>
        <v>9.5833333333333339</v>
      </c>
      <c r="J693" s="60" t="s">
        <v>412</v>
      </c>
      <c r="K693" s="62">
        <f>69+63</f>
        <v>132</v>
      </c>
      <c r="L693" s="62">
        <f>13+14</f>
        <v>27</v>
      </c>
      <c r="M693" s="62">
        <f>118+179</f>
        <v>297</v>
      </c>
      <c r="N693" s="63">
        <f>M693/L693</f>
        <v>11</v>
      </c>
      <c r="O693" s="66" t="s">
        <v>1629</v>
      </c>
    </row>
    <row r="694" spans="1:15" x14ac:dyDescent="0.2">
      <c r="A694" s="4"/>
      <c r="B694" s="35" t="s">
        <v>869</v>
      </c>
      <c r="C694" s="2" t="s">
        <v>140</v>
      </c>
      <c r="D694" s="7">
        <f>2+5+5+3</f>
        <v>15</v>
      </c>
      <c r="E694" s="7"/>
      <c r="F694" s="17">
        <f>11+15+12+11</f>
        <v>49</v>
      </c>
      <c r="G694" s="17">
        <f>3+1+1</f>
        <v>5</v>
      </c>
      <c r="H694" s="17">
        <f>54+320+196+128</f>
        <v>698</v>
      </c>
      <c r="I694" s="16">
        <f>H694/(F694-G694)</f>
        <v>15.863636363636363</v>
      </c>
      <c r="J694" s="17" t="s">
        <v>425</v>
      </c>
      <c r="K694" s="25">
        <f>94+161+118+7+87</f>
        <v>467</v>
      </c>
      <c r="L694" s="25">
        <f>101+16</f>
        <v>117</v>
      </c>
      <c r="M694" s="25">
        <f>268+462+408+27+28+334</f>
        <v>1527</v>
      </c>
      <c r="N694" s="24">
        <f>M694/L694</f>
        <v>13.051282051282051</v>
      </c>
      <c r="O694" s="23"/>
    </row>
    <row r="695" spans="1:15" s="54" customFormat="1" x14ac:dyDescent="0.2">
      <c r="A695" s="4"/>
      <c r="B695" s="35" t="s">
        <v>870</v>
      </c>
      <c r="C695" s="2" t="s">
        <v>36</v>
      </c>
      <c r="D695" s="7">
        <f>28+6</f>
        <v>34</v>
      </c>
      <c r="E695" s="7"/>
      <c r="F695" s="17">
        <f>60+10</f>
        <v>70</v>
      </c>
      <c r="G695" s="17">
        <f>2+1</f>
        <v>3</v>
      </c>
      <c r="H695" s="17">
        <f>1035+128</f>
        <v>1163</v>
      </c>
      <c r="I695" s="16">
        <f>H695/(F695-G695)</f>
        <v>17.35820895522388</v>
      </c>
      <c r="J695" s="17">
        <v>96</v>
      </c>
      <c r="K695" s="25">
        <f>202+33</f>
        <v>235</v>
      </c>
      <c r="L695" s="25">
        <f>40+5</f>
        <v>45</v>
      </c>
      <c r="M695" s="25">
        <f>741+143</f>
        <v>884</v>
      </c>
      <c r="N695" s="24">
        <f>M695/L695</f>
        <v>19.644444444444446</v>
      </c>
      <c r="O695" s="23"/>
    </row>
    <row r="696" spans="1:15" x14ac:dyDescent="0.2">
      <c r="A696" s="4"/>
      <c r="B696" s="35" t="s">
        <v>871</v>
      </c>
      <c r="C696" s="2" t="s">
        <v>20</v>
      </c>
      <c r="D696" s="7">
        <f>1+2</f>
        <v>3</v>
      </c>
      <c r="E696" s="7"/>
      <c r="F696" s="17">
        <f>11+2</f>
        <v>13</v>
      </c>
      <c r="G696" s="17">
        <v>0</v>
      </c>
      <c r="H696" s="15">
        <f>103+5</f>
        <v>108</v>
      </c>
      <c r="I696" s="16">
        <f>H696/(F696-G696)</f>
        <v>8.3076923076923084</v>
      </c>
      <c r="J696" s="17">
        <v>27</v>
      </c>
      <c r="K696" s="25">
        <f>46+6</f>
        <v>52</v>
      </c>
      <c r="L696" s="25">
        <v>6</v>
      </c>
      <c r="M696" s="25">
        <f>107+6</f>
        <v>113</v>
      </c>
      <c r="N696" s="24">
        <f>M696/L696</f>
        <v>18.833333333333332</v>
      </c>
      <c r="O696" s="23"/>
    </row>
    <row r="697" spans="1:15" s="6" customFormat="1" x14ac:dyDescent="0.2">
      <c r="A697" s="4"/>
      <c r="B697" s="35" t="s">
        <v>872</v>
      </c>
      <c r="C697" s="2" t="s">
        <v>22</v>
      </c>
      <c r="D697" s="7">
        <v>8</v>
      </c>
      <c r="E697" s="7"/>
      <c r="F697" s="17">
        <v>16</v>
      </c>
      <c r="G697" s="17">
        <v>2</v>
      </c>
      <c r="H697" s="15">
        <v>242</v>
      </c>
      <c r="I697" s="16">
        <f>H697/(F697-G697)</f>
        <v>17.285714285714285</v>
      </c>
      <c r="J697" s="17" t="s">
        <v>405</v>
      </c>
      <c r="K697" s="25">
        <v>13</v>
      </c>
      <c r="L697" s="25">
        <v>2</v>
      </c>
      <c r="M697" s="25">
        <v>26</v>
      </c>
      <c r="N697" s="24">
        <f>M697/L697</f>
        <v>13</v>
      </c>
      <c r="O697" s="23"/>
    </row>
    <row r="698" spans="1:15" s="5" customFormat="1" x14ac:dyDescent="0.2">
      <c r="A698" s="57">
        <v>2116835</v>
      </c>
      <c r="B698" s="65" t="s">
        <v>2347</v>
      </c>
      <c r="C698" s="58" t="s">
        <v>88</v>
      </c>
      <c r="D698" s="59">
        <f>5+4</f>
        <v>9</v>
      </c>
      <c r="E698" s="59">
        <f>0</f>
        <v>0</v>
      </c>
      <c r="F698" s="60">
        <f>8+5+7</f>
        <v>20</v>
      </c>
      <c r="G698" s="60">
        <f>0+2+2</f>
        <v>4</v>
      </c>
      <c r="H698" s="60">
        <f>35+17+81</f>
        <v>133</v>
      </c>
      <c r="I698" s="61">
        <f>H698/(F698-G698)</f>
        <v>8.3125</v>
      </c>
      <c r="J698" s="60" t="s">
        <v>417</v>
      </c>
      <c r="K698" s="62">
        <f>2.3+1</f>
        <v>3.3</v>
      </c>
      <c r="L698" s="62">
        <f>0</f>
        <v>0</v>
      </c>
      <c r="M698" s="62">
        <f>20+8</f>
        <v>28</v>
      </c>
      <c r="N698" s="63" t="e">
        <f>M698/L698</f>
        <v>#DIV/0!</v>
      </c>
      <c r="O698" s="66" t="s">
        <v>1508</v>
      </c>
    </row>
    <row r="699" spans="1:15" s="5" customFormat="1" x14ac:dyDescent="0.2">
      <c r="A699" s="4">
        <v>667163</v>
      </c>
      <c r="B699" s="51" t="s">
        <v>1397</v>
      </c>
      <c r="C699" s="2" t="s">
        <v>1435</v>
      </c>
      <c r="D699" s="7">
        <f>1+0</f>
        <v>1</v>
      </c>
      <c r="E699" s="7">
        <f>0</f>
        <v>0</v>
      </c>
      <c r="F699" s="17">
        <f>1+1</f>
        <v>2</v>
      </c>
      <c r="G699" s="17">
        <f>1+0</f>
        <v>1</v>
      </c>
      <c r="H699" s="17">
        <f>19+1</f>
        <v>20</v>
      </c>
      <c r="I699" s="16">
        <f>H699/(F699-G699)</f>
        <v>20</v>
      </c>
      <c r="J699" s="17" t="s">
        <v>371</v>
      </c>
      <c r="K699" s="25">
        <f>2</f>
        <v>2</v>
      </c>
      <c r="L699" s="25">
        <f>0</f>
        <v>0</v>
      </c>
      <c r="M699" s="25">
        <f>26</f>
        <v>26</v>
      </c>
      <c r="N699" s="24" t="e">
        <f>M699/L699</f>
        <v>#DIV/0!</v>
      </c>
      <c r="O699" s="23"/>
    </row>
    <row r="700" spans="1:15" s="54" customFormat="1" x14ac:dyDescent="0.2">
      <c r="A700" s="4"/>
      <c r="B700" s="35" t="s">
        <v>873</v>
      </c>
      <c r="C700" s="2" t="s">
        <v>67</v>
      </c>
      <c r="D700" s="7">
        <v>6</v>
      </c>
      <c r="E700" s="7"/>
      <c r="F700" s="17">
        <v>11</v>
      </c>
      <c r="G700" s="17"/>
      <c r="H700" s="15">
        <v>135</v>
      </c>
      <c r="I700" s="16">
        <f>H700/(F700-G700)</f>
        <v>12.272727272727273</v>
      </c>
      <c r="J700" s="17">
        <v>38</v>
      </c>
      <c r="K700" s="25"/>
      <c r="L700" s="25"/>
      <c r="M700" s="25"/>
      <c r="N700" s="24" t="e">
        <f>M700/L700</f>
        <v>#DIV/0!</v>
      </c>
      <c r="O700" s="23"/>
    </row>
    <row r="701" spans="1:15" x14ac:dyDescent="0.2">
      <c r="A701" s="4"/>
      <c r="B701" s="35" t="s">
        <v>874</v>
      </c>
      <c r="C701" s="2" t="s">
        <v>16</v>
      </c>
      <c r="D701" s="7"/>
      <c r="E701" s="7"/>
      <c r="F701" s="17">
        <v>12</v>
      </c>
      <c r="G701" s="17"/>
      <c r="H701" s="15">
        <v>27</v>
      </c>
      <c r="I701" s="16">
        <f>H701/(F701-G701)</f>
        <v>2.25</v>
      </c>
      <c r="J701" s="17">
        <v>9</v>
      </c>
      <c r="K701" s="25">
        <v>17</v>
      </c>
      <c r="L701" s="25">
        <v>1</v>
      </c>
      <c r="M701" s="25">
        <v>64</v>
      </c>
      <c r="N701" s="24">
        <f>M701/L701</f>
        <v>64</v>
      </c>
      <c r="O701" s="23"/>
    </row>
    <row r="702" spans="1:15" x14ac:dyDescent="0.2">
      <c r="A702" s="4">
        <v>2101989</v>
      </c>
      <c r="B702" s="35" t="s">
        <v>2523</v>
      </c>
      <c r="C702" s="2" t="s">
        <v>2524</v>
      </c>
      <c r="D702" s="7">
        <v>0</v>
      </c>
      <c r="E702" s="7">
        <v>0</v>
      </c>
      <c r="F702" s="17">
        <v>9</v>
      </c>
      <c r="G702" s="17">
        <v>8</v>
      </c>
      <c r="H702" s="15">
        <v>32</v>
      </c>
      <c r="I702" s="16">
        <f>H702/(F702-G702)</f>
        <v>32</v>
      </c>
      <c r="J702" s="17" t="s">
        <v>414</v>
      </c>
      <c r="K702" s="25">
        <v>21</v>
      </c>
      <c r="L702" s="25">
        <v>5</v>
      </c>
      <c r="M702" s="25">
        <v>92</v>
      </c>
      <c r="N702" s="24">
        <f>M702/L702</f>
        <v>18.399999999999999</v>
      </c>
      <c r="O702" s="49" t="s">
        <v>1392</v>
      </c>
    </row>
    <row r="703" spans="1:15" x14ac:dyDescent="0.2">
      <c r="A703" s="84">
        <v>1875350</v>
      </c>
      <c r="B703" s="35" t="s">
        <v>1889</v>
      </c>
      <c r="C703" s="2" t="s">
        <v>1890</v>
      </c>
      <c r="D703" s="7">
        <f>0</f>
        <v>0</v>
      </c>
      <c r="E703" s="7">
        <f>0</f>
        <v>0</v>
      </c>
      <c r="F703" s="17">
        <f>2+4</f>
        <v>6</v>
      </c>
      <c r="G703" s="17">
        <f>2+1</f>
        <v>3</v>
      </c>
      <c r="H703" s="17">
        <f>0+8</f>
        <v>8</v>
      </c>
      <c r="I703" s="16">
        <f>H703/(F703-G703)</f>
        <v>2.6666666666666665</v>
      </c>
      <c r="J703" s="17">
        <v>4</v>
      </c>
      <c r="K703" s="25">
        <f>4</f>
        <v>4</v>
      </c>
      <c r="L703" s="25">
        <f>0</f>
        <v>0</v>
      </c>
      <c r="M703" s="25">
        <f>23</f>
        <v>23</v>
      </c>
      <c r="N703" s="24" t="e">
        <f>M703/L703</f>
        <v>#DIV/0!</v>
      </c>
      <c r="O703" s="23"/>
    </row>
    <row r="704" spans="1:15" s="54" customFormat="1" x14ac:dyDescent="0.2">
      <c r="A704" s="4"/>
      <c r="B704" s="35" t="s">
        <v>875</v>
      </c>
      <c r="C704" s="2" t="s">
        <v>146</v>
      </c>
      <c r="D704" s="7">
        <v>28</v>
      </c>
      <c r="E704" s="7"/>
      <c r="F704" s="17">
        <v>101</v>
      </c>
      <c r="G704" s="17">
        <v>24</v>
      </c>
      <c r="H704" s="15">
        <v>1799</v>
      </c>
      <c r="I704" s="16">
        <f>H704/(F704-G704)</f>
        <v>23.363636363636363</v>
      </c>
      <c r="J704" s="17">
        <v>92</v>
      </c>
      <c r="K704" s="25">
        <v>619</v>
      </c>
      <c r="L704" s="25">
        <v>96</v>
      </c>
      <c r="M704" s="25">
        <v>1630</v>
      </c>
      <c r="N704" s="24">
        <f>M704/L704</f>
        <v>16.979166666666668</v>
      </c>
      <c r="O704" s="23"/>
    </row>
    <row r="705" spans="1:15" x14ac:dyDescent="0.2">
      <c r="A705" s="4">
        <v>2260613</v>
      </c>
      <c r="B705" s="35" t="s">
        <v>2551</v>
      </c>
      <c r="C705" s="2" t="s">
        <v>2552</v>
      </c>
      <c r="D705" s="7">
        <v>4</v>
      </c>
      <c r="E705" s="7">
        <v>0</v>
      </c>
      <c r="F705" s="17">
        <v>12</v>
      </c>
      <c r="G705" s="17">
        <v>2</v>
      </c>
      <c r="H705" s="15">
        <v>99</v>
      </c>
      <c r="I705" s="16">
        <f>H705/(F705-G705)</f>
        <v>9.9</v>
      </c>
      <c r="J705" s="17">
        <v>18</v>
      </c>
      <c r="K705" s="25">
        <v>1</v>
      </c>
      <c r="L705" s="25">
        <v>0</v>
      </c>
      <c r="M705" s="25">
        <v>7</v>
      </c>
      <c r="N705" s="24" t="e">
        <f>M705/L705</f>
        <v>#DIV/0!</v>
      </c>
      <c r="O705" s="49"/>
    </row>
    <row r="706" spans="1:15" s="6" customFormat="1" x14ac:dyDescent="0.2">
      <c r="A706" s="4"/>
      <c r="B706" s="34" t="s">
        <v>876</v>
      </c>
      <c r="C706" s="2" t="s">
        <v>241</v>
      </c>
      <c r="D706" s="8">
        <v>4</v>
      </c>
      <c r="E706" s="7">
        <v>2</v>
      </c>
      <c r="F706" s="17">
        <f>9</f>
        <v>9</v>
      </c>
      <c r="G706" s="17">
        <f>2</f>
        <v>2</v>
      </c>
      <c r="H706" s="17">
        <f>71</f>
        <v>71</v>
      </c>
      <c r="I706" s="16">
        <f>H706/(F706-G706)</f>
        <v>10.142857142857142</v>
      </c>
      <c r="J706" s="17">
        <v>17</v>
      </c>
      <c r="K706" s="25">
        <f>37</f>
        <v>37</v>
      </c>
      <c r="L706" s="25">
        <f>9</f>
        <v>9</v>
      </c>
      <c r="M706" s="25">
        <f>173</f>
        <v>173</v>
      </c>
      <c r="N706" s="24">
        <f>M706/L706</f>
        <v>19.222222222222221</v>
      </c>
      <c r="O706" s="23"/>
    </row>
    <row r="707" spans="1:15" s="6" customFormat="1" x14ac:dyDescent="0.2">
      <c r="A707" s="4">
        <v>1200596</v>
      </c>
      <c r="B707" s="51" t="s">
        <v>1422</v>
      </c>
      <c r="C707" s="2" t="s">
        <v>1436</v>
      </c>
      <c r="D707" s="7">
        <f>2</f>
        <v>2</v>
      </c>
      <c r="E707" s="7">
        <f>0</f>
        <v>0</v>
      </c>
      <c r="F707" s="17">
        <f>3</f>
        <v>3</v>
      </c>
      <c r="G707" s="17">
        <f>0</f>
        <v>0</v>
      </c>
      <c r="H707" s="17">
        <f>7</f>
        <v>7</v>
      </c>
      <c r="I707" s="16">
        <f>H707/(F707-G707)</f>
        <v>2.3333333333333335</v>
      </c>
      <c r="J707" s="17">
        <v>4</v>
      </c>
      <c r="K707" s="25">
        <f>8</f>
        <v>8</v>
      </c>
      <c r="L707" s="25">
        <f>1</f>
        <v>1</v>
      </c>
      <c r="M707" s="25">
        <f>48</f>
        <v>48</v>
      </c>
      <c r="N707" s="24">
        <f>M707/L707</f>
        <v>48</v>
      </c>
      <c r="O707" s="49" t="s">
        <v>1476</v>
      </c>
    </row>
    <row r="708" spans="1:15" s="54" customFormat="1" x14ac:dyDescent="0.2">
      <c r="A708" s="57"/>
      <c r="B708" s="65" t="s">
        <v>2680</v>
      </c>
      <c r="C708" s="58" t="s">
        <v>2681</v>
      </c>
      <c r="D708" s="59">
        <v>1</v>
      </c>
      <c r="E708" s="59"/>
      <c r="F708" s="60">
        <v>10</v>
      </c>
      <c r="G708" s="60">
        <v>1</v>
      </c>
      <c r="H708" s="60">
        <v>102</v>
      </c>
      <c r="I708" s="61">
        <f>H708/(F708-G708)</f>
        <v>11.333333333333334</v>
      </c>
      <c r="J708" s="60">
        <v>51</v>
      </c>
      <c r="K708" s="62">
        <v>15</v>
      </c>
      <c r="L708" s="62">
        <v>5</v>
      </c>
      <c r="M708" s="62">
        <v>69</v>
      </c>
      <c r="N708" s="63">
        <f>M708/L708</f>
        <v>13.8</v>
      </c>
      <c r="O708" s="66" t="s">
        <v>1497</v>
      </c>
    </row>
    <row r="709" spans="1:15" s="54" customFormat="1" x14ac:dyDescent="0.2">
      <c r="A709" s="4">
        <v>1927904</v>
      </c>
      <c r="B709" s="35" t="s">
        <v>2116</v>
      </c>
      <c r="C709" s="2" t="s">
        <v>2117</v>
      </c>
      <c r="D709" s="7">
        <f>0</f>
        <v>0</v>
      </c>
      <c r="E709" s="7"/>
      <c r="F709" s="17">
        <f>2</f>
        <v>2</v>
      </c>
      <c r="G709" s="17">
        <f>1</f>
        <v>1</v>
      </c>
      <c r="H709" s="17">
        <f>58</f>
        <v>58</v>
      </c>
      <c r="I709" s="16">
        <f>H709/(F709-G709)</f>
        <v>58</v>
      </c>
      <c r="J709" s="17">
        <v>58</v>
      </c>
      <c r="K709" s="25"/>
      <c r="L709" s="25"/>
      <c r="M709" s="25"/>
      <c r="N709" s="24" t="e">
        <f>M709/L709</f>
        <v>#DIV/0!</v>
      </c>
      <c r="O709" s="23"/>
    </row>
    <row r="710" spans="1:15" s="54" customFormat="1" x14ac:dyDescent="0.2">
      <c r="A710" s="64"/>
      <c r="B710" s="65" t="s">
        <v>2690</v>
      </c>
      <c r="C710" s="58" t="s">
        <v>1660</v>
      </c>
      <c r="D710" s="59"/>
      <c r="E710" s="59"/>
      <c r="F710" s="60">
        <v>7</v>
      </c>
      <c r="G710" s="60">
        <v>2</v>
      </c>
      <c r="H710" s="60">
        <v>48</v>
      </c>
      <c r="I710" s="61">
        <f>H710/(F710-G710)</f>
        <v>9.6</v>
      </c>
      <c r="J710" s="60">
        <v>28</v>
      </c>
      <c r="K710" s="62">
        <v>32</v>
      </c>
      <c r="L710" s="62">
        <v>4</v>
      </c>
      <c r="M710" s="62">
        <v>143</v>
      </c>
      <c r="N710" s="63">
        <f>M710/L710</f>
        <v>35.75</v>
      </c>
      <c r="O710" s="66" t="s">
        <v>2584</v>
      </c>
    </row>
    <row r="711" spans="1:15" s="5" customFormat="1" x14ac:dyDescent="0.2">
      <c r="A711" s="57">
        <v>1258170</v>
      </c>
      <c r="B711" s="65" t="s">
        <v>2118</v>
      </c>
      <c r="C711" s="58" t="s">
        <v>1660</v>
      </c>
      <c r="D711" s="59">
        <f>3+3</f>
        <v>6</v>
      </c>
      <c r="E711" s="59">
        <f>0</f>
        <v>0</v>
      </c>
      <c r="F711" s="60">
        <f>12+16+6</f>
        <v>34</v>
      </c>
      <c r="G711" s="60">
        <f>0+0+1</f>
        <v>1</v>
      </c>
      <c r="H711" s="60">
        <f>135+153+13</f>
        <v>301</v>
      </c>
      <c r="I711" s="61">
        <f>H711/(F711-G711)</f>
        <v>9.1212121212121211</v>
      </c>
      <c r="J711" s="60">
        <v>37</v>
      </c>
      <c r="K711" s="62">
        <f>21+1</f>
        <v>22</v>
      </c>
      <c r="L711" s="62">
        <f>2+1</f>
        <v>3</v>
      </c>
      <c r="M711" s="62">
        <f>102+5</f>
        <v>107</v>
      </c>
      <c r="N711" s="63">
        <f>M711/L711</f>
        <v>35.666666666666664</v>
      </c>
      <c r="O711" s="66" t="s">
        <v>1509</v>
      </c>
    </row>
    <row r="712" spans="1:15" x14ac:dyDescent="0.2">
      <c r="A712" s="84">
        <v>1657137</v>
      </c>
      <c r="B712" s="35" t="s">
        <v>1702</v>
      </c>
      <c r="C712" s="2" t="s">
        <v>1521</v>
      </c>
      <c r="D712" s="7">
        <f>2</f>
        <v>2</v>
      </c>
      <c r="E712" s="7">
        <f>0</f>
        <v>0</v>
      </c>
      <c r="F712" s="17"/>
      <c r="G712" s="17"/>
      <c r="H712" s="17"/>
      <c r="I712" s="16" t="e">
        <f>H712/(F712-G712)</f>
        <v>#DIV/0!</v>
      </c>
      <c r="J712" s="17"/>
      <c r="K712" s="25">
        <f>5</f>
        <v>5</v>
      </c>
      <c r="L712" s="25">
        <f>1</f>
        <v>1</v>
      </c>
      <c r="M712" s="25">
        <f>12</f>
        <v>12</v>
      </c>
      <c r="N712" s="24">
        <f>M712/L712</f>
        <v>12</v>
      </c>
      <c r="O712" s="49" t="s">
        <v>1647</v>
      </c>
    </row>
    <row r="713" spans="1:15" x14ac:dyDescent="0.2">
      <c r="A713" s="84">
        <v>1873228</v>
      </c>
      <c r="B713" s="35" t="s">
        <v>2119</v>
      </c>
      <c r="C713" s="2" t="s">
        <v>1867</v>
      </c>
      <c r="D713" s="7">
        <f>0+0</f>
        <v>0</v>
      </c>
      <c r="E713" s="7">
        <f>0</f>
        <v>0</v>
      </c>
      <c r="F713" s="17">
        <f>3+10</f>
        <v>13</v>
      </c>
      <c r="G713" s="17">
        <f>3+0</f>
        <v>3</v>
      </c>
      <c r="H713" s="17">
        <f>4+19</f>
        <v>23</v>
      </c>
      <c r="I713" s="16">
        <f>H713/(F713-G713)</f>
        <v>2.2999999999999998</v>
      </c>
      <c r="J713" s="17">
        <v>9</v>
      </c>
      <c r="K713" s="25">
        <f>8+8</f>
        <v>16</v>
      </c>
      <c r="L713" s="25">
        <f>1+4</f>
        <v>5</v>
      </c>
      <c r="M713" s="25">
        <f>33+22</f>
        <v>55</v>
      </c>
      <c r="N713" s="24">
        <f>M713/L713</f>
        <v>11</v>
      </c>
      <c r="O713" s="49" t="s">
        <v>1355</v>
      </c>
    </row>
    <row r="714" spans="1:15" s="54" customFormat="1" x14ac:dyDescent="0.2">
      <c r="A714" s="4">
        <v>968273</v>
      </c>
      <c r="B714" s="35" t="s">
        <v>877</v>
      </c>
      <c r="C714" s="2" t="s">
        <v>363</v>
      </c>
      <c r="D714" s="7">
        <f>0+0</f>
        <v>0</v>
      </c>
      <c r="E714" s="7">
        <f>0</f>
        <v>0</v>
      </c>
      <c r="F714" s="17">
        <f>5+1</f>
        <v>6</v>
      </c>
      <c r="G714" s="17">
        <f>1+0</f>
        <v>1</v>
      </c>
      <c r="H714" s="17">
        <f>14+0</f>
        <v>14</v>
      </c>
      <c r="I714" s="16">
        <f>H714/(F714-G714)</f>
        <v>2.8</v>
      </c>
      <c r="J714" s="17">
        <v>10</v>
      </c>
      <c r="K714" s="25">
        <f>29+1</f>
        <v>30</v>
      </c>
      <c r="L714" s="25">
        <f>3+0</f>
        <v>3</v>
      </c>
      <c r="M714" s="25">
        <f>85+5</f>
        <v>90</v>
      </c>
      <c r="N714" s="24">
        <f>M714/L714</f>
        <v>30</v>
      </c>
      <c r="O714" s="23"/>
    </row>
    <row r="715" spans="1:15" x14ac:dyDescent="0.2">
      <c r="A715" s="84">
        <v>1152415</v>
      </c>
      <c r="B715" s="35" t="s">
        <v>1703</v>
      </c>
      <c r="C715" s="2" t="s">
        <v>1704</v>
      </c>
      <c r="D715" s="7">
        <f>1+0</f>
        <v>1</v>
      </c>
      <c r="E715" s="7">
        <f>0+0</f>
        <v>0</v>
      </c>
      <c r="F715" s="17">
        <f>10+9</f>
        <v>19</v>
      </c>
      <c r="G715" s="17">
        <f>0+3</f>
        <v>3</v>
      </c>
      <c r="H715" s="17">
        <f>18+41</f>
        <v>59</v>
      </c>
      <c r="I715" s="16">
        <f>H715/(F715-G715)</f>
        <v>3.6875</v>
      </c>
      <c r="J715" s="17" t="s">
        <v>2012</v>
      </c>
      <c r="K715" s="25">
        <f>6+10</f>
        <v>16</v>
      </c>
      <c r="L715" s="25">
        <f>1+1</f>
        <v>2</v>
      </c>
      <c r="M715" s="25">
        <f>29+55</f>
        <v>84</v>
      </c>
      <c r="N715" s="24">
        <f>M715/L715</f>
        <v>42</v>
      </c>
      <c r="O715" s="49" t="s">
        <v>1475</v>
      </c>
    </row>
    <row r="716" spans="1:15" x14ac:dyDescent="0.2">
      <c r="A716" s="84">
        <v>1565668</v>
      </c>
      <c r="B716" s="85" t="s">
        <v>1547</v>
      </c>
      <c r="C716" s="2" t="s">
        <v>1549</v>
      </c>
      <c r="D716" s="7">
        <f>0</f>
        <v>0</v>
      </c>
      <c r="E716" s="7">
        <f>0</f>
        <v>0</v>
      </c>
      <c r="F716" s="17">
        <f>6</f>
        <v>6</v>
      </c>
      <c r="G716" s="17">
        <f>1</f>
        <v>1</v>
      </c>
      <c r="H716" s="17">
        <f>12</f>
        <v>12</v>
      </c>
      <c r="I716" s="16">
        <f>H716/(F716-G716)</f>
        <v>2.4</v>
      </c>
      <c r="J716" s="17">
        <v>7</v>
      </c>
      <c r="K716" s="25">
        <f>1</f>
        <v>1</v>
      </c>
      <c r="L716" s="25">
        <f>0</f>
        <v>0</v>
      </c>
      <c r="M716" s="25">
        <f>8</f>
        <v>8</v>
      </c>
      <c r="N716" s="24" t="e">
        <f>M716/L716</f>
        <v>#DIV/0!</v>
      </c>
      <c r="O716" s="49" t="s">
        <v>1634</v>
      </c>
    </row>
    <row r="717" spans="1:15" s="54" customFormat="1" x14ac:dyDescent="0.2">
      <c r="A717" s="84">
        <v>1634454</v>
      </c>
      <c r="B717" s="35" t="s">
        <v>1891</v>
      </c>
      <c r="C717" s="2" t="s">
        <v>1865</v>
      </c>
      <c r="D717" s="7">
        <f>0</f>
        <v>0</v>
      </c>
      <c r="E717" s="7">
        <f>0</f>
        <v>0</v>
      </c>
      <c r="F717" s="17">
        <f>2</f>
        <v>2</v>
      </c>
      <c r="G717" s="17">
        <f>0</f>
        <v>0</v>
      </c>
      <c r="H717" s="17">
        <f>7</f>
        <v>7</v>
      </c>
      <c r="I717" s="16">
        <f>H717/(F717-G717)</f>
        <v>3.5</v>
      </c>
      <c r="J717" s="17">
        <v>4</v>
      </c>
      <c r="K717" s="25">
        <f>6</f>
        <v>6</v>
      </c>
      <c r="L717" s="25">
        <f>1</f>
        <v>1</v>
      </c>
      <c r="M717" s="25">
        <f>26</f>
        <v>26</v>
      </c>
      <c r="N717" s="24">
        <f>M717/L717</f>
        <v>26</v>
      </c>
      <c r="O717" s="49" t="s">
        <v>1365</v>
      </c>
    </row>
    <row r="718" spans="1:15" s="54" customFormat="1" x14ac:dyDescent="0.2">
      <c r="A718" s="4">
        <v>1106642</v>
      </c>
      <c r="B718" s="35" t="s">
        <v>2120</v>
      </c>
      <c r="C718" s="2" t="s">
        <v>2121</v>
      </c>
      <c r="D718" s="7">
        <f>0+7+2</f>
        <v>9</v>
      </c>
      <c r="E718" s="7">
        <f>0+0</f>
        <v>0</v>
      </c>
      <c r="F718" s="17">
        <f>11+14+15</f>
        <v>40</v>
      </c>
      <c r="G718" s="17">
        <f>4+1+6</f>
        <v>11</v>
      </c>
      <c r="H718" s="17">
        <f>54+129+99</f>
        <v>282</v>
      </c>
      <c r="I718" s="16">
        <f>H718/(F718-G718)</f>
        <v>9.7241379310344822</v>
      </c>
      <c r="J718" s="17">
        <v>30</v>
      </c>
      <c r="K718" s="25">
        <f>88+106.2+117</f>
        <v>311.2</v>
      </c>
      <c r="L718" s="25">
        <f>19+34+27</f>
        <v>80</v>
      </c>
      <c r="M718" s="25">
        <f>163+308+309</f>
        <v>780</v>
      </c>
      <c r="N718" s="24">
        <f>M718/L718</f>
        <v>9.75</v>
      </c>
      <c r="O718" s="49" t="s">
        <v>1497</v>
      </c>
    </row>
    <row r="719" spans="1:15" s="5" customFormat="1" x14ac:dyDescent="0.2">
      <c r="A719" s="84">
        <v>1763216</v>
      </c>
      <c r="B719" s="35" t="s">
        <v>1892</v>
      </c>
      <c r="C719" s="2" t="s">
        <v>1893</v>
      </c>
      <c r="D719" s="7">
        <f>0</f>
        <v>0</v>
      </c>
      <c r="E719" s="7">
        <f>0</f>
        <v>0</v>
      </c>
      <c r="F719" s="17">
        <f>2</f>
        <v>2</v>
      </c>
      <c r="G719" s="17">
        <f>0</f>
        <v>0</v>
      </c>
      <c r="H719" s="17">
        <f>1</f>
        <v>1</v>
      </c>
      <c r="I719" s="16">
        <f>H719/(F719-G719)</f>
        <v>0.5</v>
      </c>
      <c r="J719" s="17">
        <v>1</v>
      </c>
      <c r="K719" s="25">
        <f>2</f>
        <v>2</v>
      </c>
      <c r="L719" s="25">
        <f>0</f>
        <v>0</v>
      </c>
      <c r="M719" s="25">
        <f>6</f>
        <v>6</v>
      </c>
      <c r="N719" s="24" t="e">
        <f>M719/L719</f>
        <v>#DIV/0!</v>
      </c>
      <c r="O719" s="23"/>
    </row>
    <row r="720" spans="1:15" x14ac:dyDescent="0.2">
      <c r="A720" s="84">
        <v>2027447</v>
      </c>
      <c r="B720" s="35" t="s">
        <v>2527</v>
      </c>
      <c r="C720" s="2" t="s">
        <v>2528</v>
      </c>
      <c r="D720" s="7">
        <v>0</v>
      </c>
      <c r="E720" s="7">
        <v>0</v>
      </c>
      <c r="F720" s="17">
        <v>10</v>
      </c>
      <c r="G720" s="17">
        <v>7</v>
      </c>
      <c r="H720" s="17">
        <v>23</v>
      </c>
      <c r="I720" s="16">
        <f>H720/(F720-G720)</f>
        <v>7.666666666666667</v>
      </c>
      <c r="J720" s="17" t="s">
        <v>271</v>
      </c>
      <c r="K720" s="25">
        <v>29</v>
      </c>
      <c r="L720" s="25">
        <v>10</v>
      </c>
      <c r="M720" s="25">
        <v>118</v>
      </c>
      <c r="N720" s="24">
        <f>M720/L720</f>
        <v>11.8</v>
      </c>
      <c r="O720" s="49" t="s">
        <v>1794</v>
      </c>
    </row>
    <row r="721" spans="1:15" s="54" customFormat="1" x14ac:dyDescent="0.2">
      <c r="A721" s="4">
        <v>668537</v>
      </c>
      <c r="B721" s="35" t="s">
        <v>1478</v>
      </c>
      <c r="C721" s="2" t="s">
        <v>1495</v>
      </c>
      <c r="D721" s="7">
        <f>2</f>
        <v>2</v>
      </c>
      <c r="E721" s="7">
        <f>0</f>
        <v>0</v>
      </c>
      <c r="F721" s="17">
        <f>6</f>
        <v>6</v>
      </c>
      <c r="G721" s="17">
        <f>2</f>
        <v>2</v>
      </c>
      <c r="H721" s="17">
        <f>16</f>
        <v>16</v>
      </c>
      <c r="I721" s="16">
        <f>H721/(F721-G721)</f>
        <v>4</v>
      </c>
      <c r="J721" s="17">
        <v>7</v>
      </c>
      <c r="K721" s="25">
        <f>8</f>
        <v>8</v>
      </c>
      <c r="L721" s="25">
        <f>0</f>
        <v>0</v>
      </c>
      <c r="M721" s="25">
        <v>29</v>
      </c>
      <c r="N721" s="24" t="e">
        <f>M721/L721</f>
        <v>#DIV/0!</v>
      </c>
      <c r="O721" s="49" t="s">
        <v>1506</v>
      </c>
    </row>
    <row r="722" spans="1:15" s="54" customFormat="1" x14ac:dyDescent="0.2">
      <c r="A722" s="4">
        <v>668603</v>
      </c>
      <c r="B722" s="51" t="s">
        <v>1399</v>
      </c>
      <c r="C722" s="2" t="s">
        <v>1437</v>
      </c>
      <c r="D722" s="7">
        <f>2+3+4+5</f>
        <v>14</v>
      </c>
      <c r="E722" s="7">
        <f>0+0+0+0</f>
        <v>0</v>
      </c>
      <c r="F722" s="17">
        <f>13+12+14+14</f>
        <v>53</v>
      </c>
      <c r="G722" s="17">
        <f>2+5+1+0</f>
        <v>8</v>
      </c>
      <c r="H722" s="17">
        <f>249+206+311+231</f>
        <v>997</v>
      </c>
      <c r="I722" s="16">
        <f>H722/(F722-G722)</f>
        <v>22.155555555555555</v>
      </c>
      <c r="J722" s="17">
        <v>91</v>
      </c>
      <c r="K722" s="25">
        <f>20+9.3+26+64</f>
        <v>119.3</v>
      </c>
      <c r="L722" s="25">
        <f>5+3+4+9</f>
        <v>21</v>
      </c>
      <c r="M722" s="25">
        <f>91+32+132+230</f>
        <v>485</v>
      </c>
      <c r="N722" s="24">
        <f>M722/L722</f>
        <v>23.095238095238095</v>
      </c>
      <c r="O722" s="49" t="s">
        <v>2028</v>
      </c>
    </row>
    <row r="723" spans="1:15" x14ac:dyDescent="0.2">
      <c r="A723" s="57">
        <v>1592911</v>
      </c>
      <c r="B723" s="65" t="s">
        <v>2348</v>
      </c>
      <c r="C723" s="58" t="s">
        <v>282</v>
      </c>
      <c r="D723" s="59">
        <f>3+6</f>
        <v>9</v>
      </c>
      <c r="E723" s="59">
        <f>0+0</f>
        <v>0</v>
      </c>
      <c r="F723" s="60">
        <f>9+7+15</f>
        <v>31</v>
      </c>
      <c r="G723" s="60">
        <f>1+0</f>
        <v>1</v>
      </c>
      <c r="H723" s="60">
        <f>120+152+244</f>
        <v>516</v>
      </c>
      <c r="I723" s="61">
        <f>H723/(F723-G723)</f>
        <v>17.2</v>
      </c>
      <c r="J723" s="60">
        <v>56</v>
      </c>
      <c r="K723" s="62">
        <f>43.2+49.1+74</f>
        <v>166.3</v>
      </c>
      <c r="L723" s="62">
        <f>16+13+10</f>
        <v>39</v>
      </c>
      <c r="M723" s="62">
        <f>118+185+286</f>
        <v>589</v>
      </c>
      <c r="N723" s="63">
        <f>M723/L723</f>
        <v>15.102564102564102</v>
      </c>
      <c r="O723" s="66" t="s">
        <v>2284</v>
      </c>
    </row>
    <row r="724" spans="1:15" x14ac:dyDescent="0.2">
      <c r="A724" s="57">
        <v>2097854</v>
      </c>
      <c r="B724" s="65" t="s">
        <v>2570</v>
      </c>
      <c r="C724" s="58" t="s">
        <v>2571</v>
      </c>
      <c r="D724" s="59">
        <v>0</v>
      </c>
      <c r="E724" s="59">
        <v>0</v>
      </c>
      <c r="F724" s="60">
        <f>4+14</f>
        <v>18</v>
      </c>
      <c r="G724" s="60">
        <f>1+4</f>
        <v>5</v>
      </c>
      <c r="H724" s="60">
        <f>38+87</f>
        <v>125</v>
      </c>
      <c r="I724" s="61">
        <f>H724/(F724-G724)</f>
        <v>9.615384615384615</v>
      </c>
      <c r="J724" s="60">
        <v>38</v>
      </c>
      <c r="K724" s="62">
        <f>50+62</f>
        <v>112</v>
      </c>
      <c r="L724" s="62">
        <f>12+13</f>
        <v>25</v>
      </c>
      <c r="M724" s="62">
        <f>193+295</f>
        <v>488</v>
      </c>
      <c r="N724" s="63">
        <f>M724/L724</f>
        <v>19.52</v>
      </c>
      <c r="O724" s="66" t="s">
        <v>1470</v>
      </c>
    </row>
    <row r="725" spans="1:15" x14ac:dyDescent="0.2">
      <c r="A725" s="84">
        <v>1842104</v>
      </c>
      <c r="B725" s="35" t="s">
        <v>1894</v>
      </c>
      <c r="C725" s="2" t="s">
        <v>1895</v>
      </c>
      <c r="D725" s="7">
        <f>1</f>
        <v>1</v>
      </c>
      <c r="E725" s="7">
        <f>0</f>
        <v>0</v>
      </c>
      <c r="F725" s="17">
        <f>3+5</f>
        <v>8</v>
      </c>
      <c r="G725" s="17">
        <f>0+0</f>
        <v>0</v>
      </c>
      <c r="H725" s="17">
        <f>21+24</f>
        <v>45</v>
      </c>
      <c r="I725" s="16">
        <f>H725/(F725-G725)</f>
        <v>5.625</v>
      </c>
      <c r="J725" s="17">
        <v>11</v>
      </c>
      <c r="K725" s="25">
        <f>13+14</f>
        <v>27</v>
      </c>
      <c r="L725" s="25">
        <f>4+1</f>
        <v>5</v>
      </c>
      <c r="M725" s="25">
        <f>24+44</f>
        <v>68</v>
      </c>
      <c r="N725" s="24">
        <f>M725/L725</f>
        <v>13.6</v>
      </c>
      <c r="O725" s="49" t="s">
        <v>1354</v>
      </c>
    </row>
    <row r="726" spans="1:15" x14ac:dyDescent="0.2">
      <c r="A726" s="4">
        <v>1944910</v>
      </c>
      <c r="B726" s="35" t="s">
        <v>2349</v>
      </c>
      <c r="C726" s="2" t="s">
        <v>2350</v>
      </c>
      <c r="D726" s="7">
        <f>0</f>
        <v>0</v>
      </c>
      <c r="E726" s="7">
        <f>0</f>
        <v>0</v>
      </c>
      <c r="F726" s="17">
        <f>5</f>
        <v>5</v>
      </c>
      <c r="G726" s="17">
        <f>2</f>
        <v>2</v>
      </c>
      <c r="H726" s="17">
        <f>3</f>
        <v>3</v>
      </c>
      <c r="I726" s="16">
        <f>H726/(F726-G726)</f>
        <v>1</v>
      </c>
      <c r="J726" s="17" t="s">
        <v>1346</v>
      </c>
      <c r="K726" s="25">
        <f>1</f>
        <v>1</v>
      </c>
      <c r="L726" s="25">
        <f>0</f>
        <v>0</v>
      </c>
      <c r="M726" s="25">
        <f>5</f>
        <v>5</v>
      </c>
      <c r="N726" s="24" t="e">
        <f>M726/L726</f>
        <v>#DIV/0!</v>
      </c>
      <c r="O726" s="49" t="s">
        <v>1508</v>
      </c>
    </row>
    <row r="727" spans="1:15" x14ac:dyDescent="0.2">
      <c r="A727" s="57">
        <v>1577436</v>
      </c>
      <c r="B727" s="65" t="s">
        <v>2599</v>
      </c>
      <c r="C727" s="58" t="s">
        <v>2600</v>
      </c>
      <c r="D727" s="59">
        <v>5</v>
      </c>
      <c r="E727" s="59">
        <v>0</v>
      </c>
      <c r="F727" s="60">
        <f>8+13</f>
        <v>21</v>
      </c>
      <c r="G727" s="60">
        <v>3</v>
      </c>
      <c r="H727" s="60">
        <f>106+426</f>
        <v>532</v>
      </c>
      <c r="I727" s="61">
        <f>H727/(F727-G727)</f>
        <v>29.555555555555557</v>
      </c>
      <c r="J727" s="60">
        <v>63</v>
      </c>
      <c r="K727" s="62">
        <f>7+44</f>
        <v>51</v>
      </c>
      <c r="L727" s="62">
        <f>1+15</f>
        <v>16</v>
      </c>
      <c r="M727" s="62">
        <f>28+161</f>
        <v>189</v>
      </c>
      <c r="N727" s="63">
        <f>M727/L727</f>
        <v>11.8125</v>
      </c>
      <c r="O727" s="66" t="s">
        <v>1617</v>
      </c>
    </row>
    <row r="728" spans="1:15" s="5" customFormat="1" x14ac:dyDescent="0.2">
      <c r="A728" s="4"/>
      <c r="B728" s="34" t="s">
        <v>878</v>
      </c>
      <c r="C728" s="2" t="s">
        <v>230</v>
      </c>
      <c r="D728" s="7">
        <f>0+0</f>
        <v>0</v>
      </c>
      <c r="E728" s="7"/>
      <c r="F728" s="17">
        <f>15+14</f>
        <v>29</v>
      </c>
      <c r="G728" s="17">
        <f>3+1</f>
        <v>4</v>
      </c>
      <c r="H728" s="17">
        <f>4+24</f>
        <v>28</v>
      </c>
      <c r="I728" s="16">
        <f>H728/(F728-G728)</f>
        <v>1.1200000000000001</v>
      </c>
      <c r="J728" s="17">
        <v>6</v>
      </c>
      <c r="K728" s="25">
        <f>3+10</f>
        <v>13</v>
      </c>
      <c r="L728" s="25">
        <f>1+1</f>
        <v>2</v>
      </c>
      <c r="M728" s="25">
        <f>29+41</f>
        <v>70</v>
      </c>
      <c r="N728" s="24">
        <f>M728/L728</f>
        <v>35</v>
      </c>
      <c r="O728" s="23"/>
    </row>
    <row r="729" spans="1:15" s="5" customFormat="1" x14ac:dyDescent="0.2">
      <c r="A729" s="4">
        <v>1553904</v>
      </c>
      <c r="B729" s="35" t="s">
        <v>2122</v>
      </c>
      <c r="C729" s="2" t="s">
        <v>2123</v>
      </c>
      <c r="D729" s="7">
        <f>0</f>
        <v>0</v>
      </c>
      <c r="E729" s="7"/>
      <c r="F729" s="17">
        <f>3</f>
        <v>3</v>
      </c>
      <c r="G729" s="17">
        <f>0</f>
        <v>0</v>
      </c>
      <c r="H729" s="17">
        <f>29</f>
        <v>29</v>
      </c>
      <c r="I729" s="16">
        <f>H729/(F729-G729)</f>
        <v>9.6666666666666661</v>
      </c>
      <c r="J729" s="17">
        <v>27</v>
      </c>
      <c r="K729" s="25">
        <f>12</f>
        <v>12</v>
      </c>
      <c r="L729" s="25">
        <f>2</f>
        <v>2</v>
      </c>
      <c r="M729" s="25">
        <f>53</f>
        <v>53</v>
      </c>
      <c r="N729" s="24">
        <f>M729/L729</f>
        <v>26.5</v>
      </c>
      <c r="O729" s="49" t="s">
        <v>2273</v>
      </c>
    </row>
    <row r="730" spans="1:15" s="5" customFormat="1" x14ac:dyDescent="0.2">
      <c r="A730" s="84">
        <v>1608099</v>
      </c>
      <c r="B730" s="35" t="s">
        <v>1705</v>
      </c>
      <c r="C730" s="2" t="s">
        <v>1706</v>
      </c>
      <c r="D730" s="7">
        <f>1+0</f>
        <v>1</v>
      </c>
      <c r="E730" s="7">
        <f>0</f>
        <v>0</v>
      </c>
      <c r="F730" s="17">
        <f>2</f>
        <v>2</v>
      </c>
      <c r="G730" s="17">
        <f>1</f>
        <v>1</v>
      </c>
      <c r="H730" s="17">
        <f>2</f>
        <v>2</v>
      </c>
      <c r="I730" s="16">
        <f>H730/(F730-G730)</f>
        <v>2</v>
      </c>
      <c r="J730" s="17" t="s">
        <v>323</v>
      </c>
      <c r="K730" s="25">
        <f>5.1+6</f>
        <v>11.1</v>
      </c>
      <c r="L730" s="25">
        <f>3+0</f>
        <v>3</v>
      </c>
      <c r="M730" s="25">
        <f>12+15</f>
        <v>27</v>
      </c>
      <c r="N730" s="24">
        <f>M730/L730</f>
        <v>9</v>
      </c>
      <c r="O730" s="49" t="s">
        <v>1355</v>
      </c>
    </row>
    <row r="731" spans="1:15" s="54" customFormat="1" x14ac:dyDescent="0.2">
      <c r="A731" s="4"/>
      <c r="B731" s="35" t="s">
        <v>879</v>
      </c>
      <c r="C731" s="2" t="s">
        <v>19</v>
      </c>
      <c r="D731" s="7">
        <v>17</v>
      </c>
      <c r="E731" s="7"/>
      <c r="F731" s="17">
        <v>27</v>
      </c>
      <c r="G731" s="17">
        <v>8</v>
      </c>
      <c r="H731" s="17">
        <v>274</v>
      </c>
      <c r="I731" s="16">
        <f>H731/(F731-G731)</f>
        <v>14.421052631578947</v>
      </c>
      <c r="J731" s="17">
        <v>53</v>
      </c>
      <c r="K731" s="25">
        <v>89</v>
      </c>
      <c r="L731" s="25">
        <v>19</v>
      </c>
      <c r="M731" s="25">
        <v>204</v>
      </c>
      <c r="N731" s="24">
        <f>M731/L731</f>
        <v>10.736842105263158</v>
      </c>
      <c r="O731" s="23"/>
    </row>
    <row r="732" spans="1:15" x14ac:dyDescent="0.2">
      <c r="A732" s="4">
        <v>1141134</v>
      </c>
      <c r="B732" s="51" t="s">
        <v>1417</v>
      </c>
      <c r="C732" s="2" t="s">
        <v>369</v>
      </c>
      <c r="D732" s="7">
        <f>4</f>
        <v>4</v>
      </c>
      <c r="E732" s="7">
        <f>0</f>
        <v>0</v>
      </c>
      <c r="F732" s="17">
        <f>19</f>
        <v>19</v>
      </c>
      <c r="G732" s="17">
        <f>4</f>
        <v>4</v>
      </c>
      <c r="H732" s="17">
        <f>23</f>
        <v>23</v>
      </c>
      <c r="I732" s="16">
        <f>H732/(F732-G732)</f>
        <v>1.5333333333333334</v>
      </c>
      <c r="J732" s="17" t="s">
        <v>271</v>
      </c>
      <c r="K732" s="25">
        <f>6.1</f>
        <v>6.1</v>
      </c>
      <c r="L732" s="25">
        <f>4</f>
        <v>4</v>
      </c>
      <c r="M732" s="25">
        <f>29</f>
        <v>29</v>
      </c>
      <c r="N732" s="24">
        <f>M732/L732</f>
        <v>7.25</v>
      </c>
      <c r="O732" s="49" t="s">
        <v>1470</v>
      </c>
    </row>
    <row r="733" spans="1:15" s="54" customFormat="1" x14ac:dyDescent="0.2">
      <c r="A733" s="4"/>
      <c r="B733" s="35" t="s">
        <v>880</v>
      </c>
      <c r="C733" s="2" t="s">
        <v>26</v>
      </c>
      <c r="D733" s="7">
        <v>9</v>
      </c>
      <c r="E733" s="7"/>
      <c r="F733" s="17">
        <v>11</v>
      </c>
      <c r="G733" s="17">
        <v>2</v>
      </c>
      <c r="H733" s="15">
        <v>7</v>
      </c>
      <c r="I733" s="16">
        <f>H733/(F733-G733)</f>
        <v>0.77777777777777779</v>
      </c>
      <c r="J733" s="17">
        <v>30</v>
      </c>
      <c r="K733" s="25">
        <v>69</v>
      </c>
      <c r="L733" s="25">
        <v>17</v>
      </c>
      <c r="M733" s="25">
        <v>128</v>
      </c>
      <c r="N733" s="24">
        <f>M733/L733</f>
        <v>7.5294117647058822</v>
      </c>
      <c r="O733" s="23"/>
    </row>
    <row r="734" spans="1:15" x14ac:dyDescent="0.2">
      <c r="A734" s="4"/>
      <c r="B734" s="35" t="s">
        <v>881</v>
      </c>
      <c r="C734" s="2" t="s">
        <v>19</v>
      </c>
      <c r="D734" s="7">
        <f>38+2+4</f>
        <v>44</v>
      </c>
      <c r="E734" s="7"/>
      <c r="F734" s="17">
        <f>41+8+1+4+1</f>
        <v>55</v>
      </c>
      <c r="G734" s="17">
        <f>7+2</f>
        <v>9</v>
      </c>
      <c r="H734" s="17">
        <f>437+41+4+12+1</f>
        <v>495</v>
      </c>
      <c r="I734" s="16">
        <f>H734/(F734-G734)</f>
        <v>10.760869565217391</v>
      </c>
      <c r="J734" s="17" t="s">
        <v>426</v>
      </c>
      <c r="K734" s="25">
        <f>344+56+41+6</f>
        <v>447</v>
      </c>
      <c r="L734" s="25">
        <f>62+23+6+1</f>
        <v>92</v>
      </c>
      <c r="M734" s="25">
        <f>783+128+101+21</f>
        <v>1033</v>
      </c>
      <c r="N734" s="24">
        <f>M734/L734</f>
        <v>11.228260869565217</v>
      </c>
      <c r="O734" s="23"/>
    </row>
    <row r="735" spans="1:15" s="54" customFormat="1" x14ac:dyDescent="0.2">
      <c r="A735" s="57">
        <v>1133709</v>
      </c>
      <c r="B735" s="65" t="s">
        <v>2507</v>
      </c>
      <c r="C735" s="58" t="s">
        <v>2508</v>
      </c>
      <c r="D735" s="59">
        <v>2</v>
      </c>
      <c r="E735" s="59">
        <v>0</v>
      </c>
      <c r="F735" s="60">
        <f>5+6</f>
        <v>11</v>
      </c>
      <c r="G735" s="60">
        <f>3</f>
        <v>3</v>
      </c>
      <c r="H735" s="60">
        <f>9+18</f>
        <v>27</v>
      </c>
      <c r="I735" s="61">
        <f>H735/(F735-G735)</f>
        <v>3.375</v>
      </c>
      <c r="J735" s="60" t="s">
        <v>2447</v>
      </c>
      <c r="K735" s="62">
        <f>3+2</f>
        <v>5</v>
      </c>
      <c r="L735" s="62">
        <v>0</v>
      </c>
      <c r="M735" s="62">
        <f>3+18</f>
        <v>21</v>
      </c>
      <c r="N735" s="63" t="e">
        <f>M735/L735</f>
        <v>#DIV/0!</v>
      </c>
      <c r="O735" s="81"/>
    </row>
    <row r="736" spans="1:15" s="54" customFormat="1" x14ac:dyDescent="0.2">
      <c r="A736" s="84">
        <v>734147</v>
      </c>
      <c r="B736" s="85" t="s">
        <v>1550</v>
      </c>
      <c r="C736" s="2" t="s">
        <v>1551</v>
      </c>
      <c r="D736" s="7">
        <f>0</f>
        <v>0</v>
      </c>
      <c r="E736" s="7">
        <f>0</f>
        <v>0</v>
      </c>
      <c r="F736" s="17">
        <f>1</f>
        <v>1</v>
      </c>
      <c r="G736" s="17">
        <f>1</f>
        <v>1</v>
      </c>
      <c r="H736" s="17">
        <f>1</f>
        <v>1</v>
      </c>
      <c r="I736" s="16" t="e">
        <f>H736/(F736-G736)</f>
        <v>#DIV/0!</v>
      </c>
      <c r="J736" s="17" t="s">
        <v>276</v>
      </c>
      <c r="K736" s="25"/>
      <c r="L736" s="25"/>
      <c r="M736" s="25"/>
      <c r="N736" s="24" t="e">
        <f>M736/L736</f>
        <v>#DIV/0!</v>
      </c>
      <c r="O736" s="23"/>
    </row>
    <row r="737" spans="1:15" s="5" customFormat="1" x14ac:dyDescent="0.2">
      <c r="A737" s="4">
        <v>716026</v>
      </c>
      <c r="B737" s="35" t="s">
        <v>1482</v>
      </c>
      <c r="C737" s="2" t="s">
        <v>101</v>
      </c>
      <c r="D737" s="7">
        <f>0</f>
        <v>0</v>
      </c>
      <c r="E737" s="7">
        <f>0</f>
        <v>0</v>
      </c>
      <c r="F737" s="17">
        <f>1</f>
        <v>1</v>
      </c>
      <c r="G737" s="17">
        <f>0</f>
        <v>0</v>
      </c>
      <c r="H737" s="17">
        <f>0</f>
        <v>0</v>
      </c>
      <c r="I737" s="16">
        <f>H737/(F737-G737)</f>
        <v>0</v>
      </c>
      <c r="J737" s="17">
        <v>0</v>
      </c>
      <c r="K737" s="25"/>
      <c r="L737" s="25"/>
      <c r="M737" s="25"/>
      <c r="N737" s="24" t="e">
        <f>M737/L737</f>
        <v>#DIV/0!</v>
      </c>
      <c r="O737" s="23"/>
    </row>
    <row r="738" spans="1:15" x14ac:dyDescent="0.2">
      <c r="A738" s="4"/>
      <c r="B738" s="35" t="s">
        <v>882</v>
      </c>
      <c r="C738" s="2" t="s">
        <v>16</v>
      </c>
      <c r="D738" s="7"/>
      <c r="E738" s="7"/>
      <c r="F738" s="17">
        <v>8</v>
      </c>
      <c r="G738" s="17">
        <v>3</v>
      </c>
      <c r="H738" s="15">
        <v>7</v>
      </c>
      <c r="I738" s="16">
        <f>H738/(F738-G738)</f>
        <v>1.4</v>
      </c>
      <c r="J738" s="17">
        <v>4</v>
      </c>
      <c r="K738" s="25">
        <v>16</v>
      </c>
      <c r="L738" s="25"/>
      <c r="M738" s="25">
        <v>86</v>
      </c>
      <c r="N738" s="24" t="e">
        <f>M738/L738</f>
        <v>#DIV/0!</v>
      </c>
      <c r="O738" s="23"/>
    </row>
    <row r="739" spans="1:15" s="54" customFormat="1" x14ac:dyDescent="0.2">
      <c r="A739" s="4"/>
      <c r="B739" s="35" t="s">
        <v>883</v>
      </c>
      <c r="C739" s="2" t="s">
        <v>127</v>
      </c>
      <c r="D739" s="7">
        <v>5</v>
      </c>
      <c r="E739" s="7"/>
      <c r="F739" s="17">
        <v>8</v>
      </c>
      <c r="G739" s="17">
        <v>3</v>
      </c>
      <c r="H739" s="15">
        <v>115</v>
      </c>
      <c r="I739" s="16">
        <f>H739/(F739-G739)</f>
        <v>23</v>
      </c>
      <c r="J739" s="17">
        <v>26</v>
      </c>
      <c r="K739" s="25">
        <v>144</v>
      </c>
      <c r="L739" s="25">
        <v>24</v>
      </c>
      <c r="M739" s="25">
        <v>425</v>
      </c>
      <c r="N739" s="24">
        <f>M739/L739</f>
        <v>17.708333333333332</v>
      </c>
      <c r="O739" s="23"/>
    </row>
    <row r="740" spans="1:15" s="5" customFormat="1" x14ac:dyDescent="0.2">
      <c r="A740" s="4"/>
      <c r="B740" s="35" t="s">
        <v>884</v>
      </c>
      <c r="C740" s="2" t="s">
        <v>19</v>
      </c>
      <c r="D740" s="7">
        <v>1</v>
      </c>
      <c r="E740" s="7"/>
      <c r="F740" s="17">
        <v>11</v>
      </c>
      <c r="G740" s="17">
        <v>4</v>
      </c>
      <c r="H740" s="17">
        <v>7</v>
      </c>
      <c r="I740" s="16">
        <f>H740/(F740-G740)</f>
        <v>1</v>
      </c>
      <c r="J740" s="17">
        <v>4</v>
      </c>
      <c r="K740" s="25">
        <v>23</v>
      </c>
      <c r="L740" s="25">
        <v>3</v>
      </c>
      <c r="M740" s="25">
        <v>96</v>
      </c>
      <c r="N740" s="24">
        <f>M740/L740</f>
        <v>32</v>
      </c>
      <c r="O740" s="23"/>
    </row>
    <row r="741" spans="1:15" s="54" customFormat="1" x14ac:dyDescent="0.2">
      <c r="A741" s="4">
        <v>1179087</v>
      </c>
      <c r="B741" s="51" t="s">
        <v>1420</v>
      </c>
      <c r="C741" s="2" t="s">
        <v>1438</v>
      </c>
      <c r="D741" s="7">
        <f>0</f>
        <v>0</v>
      </c>
      <c r="E741" s="7">
        <f>0</f>
        <v>0</v>
      </c>
      <c r="F741" s="17">
        <f>4</f>
        <v>4</v>
      </c>
      <c r="G741" s="17">
        <f>1</f>
        <v>1</v>
      </c>
      <c r="H741" s="17">
        <f>14</f>
        <v>14</v>
      </c>
      <c r="I741" s="16">
        <f>H741/(F741-G741)</f>
        <v>4.666666666666667</v>
      </c>
      <c r="J741" s="17">
        <v>13</v>
      </c>
      <c r="K741" s="25">
        <f>2</f>
        <v>2</v>
      </c>
      <c r="L741" s="25">
        <f>0</f>
        <v>0</v>
      </c>
      <c r="M741" s="25">
        <f>19</f>
        <v>19</v>
      </c>
      <c r="N741" s="24" t="e">
        <f>M741/L741</f>
        <v>#DIV/0!</v>
      </c>
      <c r="O741" s="23"/>
    </row>
    <row r="742" spans="1:15" s="5" customFormat="1" x14ac:dyDescent="0.2">
      <c r="A742" s="84">
        <v>948488</v>
      </c>
      <c r="B742" s="35" t="s">
        <v>1896</v>
      </c>
      <c r="C742" s="2" t="s">
        <v>1897</v>
      </c>
      <c r="D742" s="7">
        <f>0</f>
        <v>0</v>
      </c>
      <c r="E742" s="7">
        <f>0</f>
        <v>0</v>
      </c>
      <c r="F742" s="17">
        <f>1</f>
        <v>1</v>
      </c>
      <c r="G742" s="17">
        <f>1</f>
        <v>1</v>
      </c>
      <c r="H742" s="17">
        <v>4</v>
      </c>
      <c r="I742" s="16" t="e">
        <f>H742/(F742-G742)</f>
        <v>#DIV/0!</v>
      </c>
      <c r="J742" s="17" t="s">
        <v>289</v>
      </c>
      <c r="K742" s="25">
        <f>18</f>
        <v>18</v>
      </c>
      <c r="L742" s="25">
        <f>2</f>
        <v>2</v>
      </c>
      <c r="M742" s="25">
        <f>48</f>
        <v>48</v>
      </c>
      <c r="N742" s="24">
        <f>M742/L742</f>
        <v>24</v>
      </c>
      <c r="O742" s="49" t="s">
        <v>2020</v>
      </c>
    </row>
    <row r="743" spans="1:15" s="54" customFormat="1" x14ac:dyDescent="0.2">
      <c r="A743" s="4"/>
      <c r="B743" s="35" t="s">
        <v>885</v>
      </c>
      <c r="C743" s="2" t="s">
        <v>17</v>
      </c>
      <c r="D743" s="7">
        <v>6</v>
      </c>
      <c r="E743" s="7"/>
      <c r="F743" s="17">
        <v>24</v>
      </c>
      <c r="G743" s="17">
        <v>4</v>
      </c>
      <c r="H743" s="15">
        <v>128</v>
      </c>
      <c r="I743" s="16">
        <f>H743/(F743-G743)</f>
        <v>6.4</v>
      </c>
      <c r="J743" s="17">
        <v>43</v>
      </c>
      <c r="K743" s="25">
        <v>21</v>
      </c>
      <c r="L743" s="25">
        <v>5</v>
      </c>
      <c r="M743" s="25">
        <v>114</v>
      </c>
      <c r="N743" s="24">
        <f>M743/L743</f>
        <v>22.8</v>
      </c>
      <c r="O743" s="23"/>
    </row>
    <row r="744" spans="1:15" s="5" customFormat="1" ht="12" customHeight="1" x14ac:dyDescent="0.2">
      <c r="A744" s="4">
        <v>152622</v>
      </c>
      <c r="B744" s="34" t="s">
        <v>1314</v>
      </c>
      <c r="C744" s="2" t="s">
        <v>91</v>
      </c>
      <c r="D744" s="7">
        <f>2+0+0</f>
        <v>2</v>
      </c>
      <c r="E744" s="7">
        <f>0+0</f>
        <v>0</v>
      </c>
      <c r="F744" s="17">
        <f>1+1+5</f>
        <v>7</v>
      </c>
      <c r="G744" s="17">
        <f>0+0+2</f>
        <v>2</v>
      </c>
      <c r="H744" s="17">
        <f>3+23+63</f>
        <v>89</v>
      </c>
      <c r="I744" s="16">
        <f>H744/(F744-G744)</f>
        <v>17.8</v>
      </c>
      <c r="J744" s="17">
        <v>23</v>
      </c>
      <c r="K744" s="25"/>
      <c r="L744" s="25"/>
      <c r="M744" s="25"/>
      <c r="N744" s="24" t="e">
        <f>M744/L744</f>
        <v>#DIV/0!</v>
      </c>
      <c r="O744" s="23"/>
    </row>
    <row r="745" spans="1:15" x14ac:dyDescent="0.2">
      <c r="A745" s="4"/>
      <c r="B745" s="34" t="s">
        <v>886</v>
      </c>
      <c r="C745" s="2" t="s">
        <v>39</v>
      </c>
      <c r="D745" s="7">
        <f>1</f>
        <v>1</v>
      </c>
      <c r="E745" s="7"/>
      <c r="F745" s="17">
        <f>8</f>
        <v>8</v>
      </c>
      <c r="G745" s="17">
        <f>3</f>
        <v>3</v>
      </c>
      <c r="H745" s="17">
        <f>45</f>
        <v>45</v>
      </c>
      <c r="I745" s="16">
        <f>H745/(F745-G745)</f>
        <v>9</v>
      </c>
      <c r="J745" s="17">
        <v>22</v>
      </c>
      <c r="K745" s="25">
        <f>6</f>
        <v>6</v>
      </c>
      <c r="L745" s="25">
        <f>4</f>
        <v>4</v>
      </c>
      <c r="M745" s="25">
        <f>16</f>
        <v>16</v>
      </c>
      <c r="N745" s="24">
        <f>M745/L745</f>
        <v>4</v>
      </c>
      <c r="O745" s="23"/>
    </row>
    <row r="746" spans="1:15" s="5" customFormat="1" x14ac:dyDescent="0.2">
      <c r="A746" s="64">
        <v>1846018</v>
      </c>
      <c r="B746" s="65" t="s">
        <v>1898</v>
      </c>
      <c r="C746" s="58" t="s">
        <v>1899</v>
      </c>
      <c r="D746" s="59">
        <f>3+7</f>
        <v>10</v>
      </c>
      <c r="E746" s="59">
        <f>0</f>
        <v>0</v>
      </c>
      <c r="F746" s="60">
        <f>7+10+7</f>
        <v>24</v>
      </c>
      <c r="G746" s="60">
        <f>3+6+1</f>
        <v>10</v>
      </c>
      <c r="H746" s="60">
        <f>19+11+32</f>
        <v>62</v>
      </c>
      <c r="I746" s="61">
        <f>H746/(F746-G746)</f>
        <v>4.4285714285714288</v>
      </c>
      <c r="J746" s="60">
        <v>13</v>
      </c>
      <c r="K746" s="62">
        <f>25+10+10</f>
        <v>45</v>
      </c>
      <c r="L746" s="62">
        <f>5+2+2</f>
        <v>9</v>
      </c>
      <c r="M746" s="62">
        <f>113+47+52</f>
        <v>212</v>
      </c>
      <c r="N746" s="63">
        <f>M746/L746</f>
        <v>23.555555555555557</v>
      </c>
      <c r="O746" s="66" t="s">
        <v>2029</v>
      </c>
    </row>
    <row r="747" spans="1:15" s="54" customFormat="1" x14ac:dyDescent="0.2">
      <c r="A747" s="84">
        <v>2291351</v>
      </c>
      <c r="B747" s="35" t="s">
        <v>2563</v>
      </c>
      <c r="C747" s="2" t="s">
        <v>2564</v>
      </c>
      <c r="D747" s="7">
        <v>2</v>
      </c>
      <c r="E747" s="7">
        <v>1</v>
      </c>
      <c r="F747" s="17">
        <v>4</v>
      </c>
      <c r="G747" s="17">
        <v>0</v>
      </c>
      <c r="H747" s="17">
        <v>68</v>
      </c>
      <c r="I747" s="16">
        <f>H747/(F747-G747)</f>
        <v>17</v>
      </c>
      <c r="J747" s="17">
        <v>33</v>
      </c>
      <c r="K747" s="25">
        <v>18</v>
      </c>
      <c r="L747" s="25">
        <v>4</v>
      </c>
      <c r="M747" s="25">
        <v>32</v>
      </c>
      <c r="N747" s="24">
        <f>M747/L747</f>
        <v>8</v>
      </c>
      <c r="O747" s="49" t="s">
        <v>1353</v>
      </c>
    </row>
    <row r="748" spans="1:15" s="5" customFormat="1" x14ac:dyDescent="0.2">
      <c r="A748" s="57"/>
      <c r="B748" s="65" t="s">
        <v>2662</v>
      </c>
      <c r="C748" s="58" t="s">
        <v>2357</v>
      </c>
      <c r="D748" s="68">
        <v>2</v>
      </c>
      <c r="E748" s="59"/>
      <c r="F748" s="60">
        <v>6</v>
      </c>
      <c r="G748" s="60">
        <v>3</v>
      </c>
      <c r="H748" s="60">
        <v>76</v>
      </c>
      <c r="I748" s="61">
        <f>H748/(F748-G748)</f>
        <v>25.333333333333332</v>
      </c>
      <c r="J748" s="60">
        <v>54</v>
      </c>
      <c r="K748" s="62">
        <v>3</v>
      </c>
      <c r="L748" s="62">
        <v>1</v>
      </c>
      <c r="M748" s="62">
        <v>8</v>
      </c>
      <c r="N748" s="63">
        <f>M748/L748</f>
        <v>8</v>
      </c>
      <c r="O748" s="66" t="s">
        <v>1631</v>
      </c>
    </row>
    <row r="749" spans="1:15" s="54" customFormat="1" x14ac:dyDescent="0.2">
      <c r="A749" s="4">
        <v>1768729</v>
      </c>
      <c r="B749" s="35" t="s">
        <v>2351</v>
      </c>
      <c r="C749" s="2" t="s">
        <v>2352</v>
      </c>
      <c r="D749" s="7">
        <f>1</f>
        <v>1</v>
      </c>
      <c r="E749" s="7">
        <f>0</f>
        <v>0</v>
      </c>
      <c r="F749" s="17">
        <f>8</f>
        <v>8</v>
      </c>
      <c r="G749" s="17">
        <f>0</f>
        <v>0</v>
      </c>
      <c r="H749" s="17">
        <f>258</f>
        <v>258</v>
      </c>
      <c r="I749" s="16">
        <f>H749/(F749-G749)</f>
        <v>32.25</v>
      </c>
      <c r="J749" s="17">
        <v>93</v>
      </c>
      <c r="K749" s="25">
        <f>19</f>
        <v>19</v>
      </c>
      <c r="L749" s="25">
        <f>2</f>
        <v>2</v>
      </c>
      <c r="M749" s="25">
        <f>63</f>
        <v>63</v>
      </c>
      <c r="N749" s="24">
        <f>M749/L749</f>
        <v>31.5</v>
      </c>
      <c r="O749" s="49" t="s">
        <v>1367</v>
      </c>
    </row>
    <row r="750" spans="1:15" s="54" customFormat="1" x14ac:dyDescent="0.2">
      <c r="A750" s="4">
        <v>2097219</v>
      </c>
      <c r="B750" s="35" t="s">
        <v>2353</v>
      </c>
      <c r="C750" s="2" t="s">
        <v>2354</v>
      </c>
      <c r="D750" s="7">
        <f>1</f>
        <v>1</v>
      </c>
      <c r="E750" s="7">
        <f>0</f>
        <v>0</v>
      </c>
      <c r="F750" s="17">
        <f>2</f>
        <v>2</v>
      </c>
      <c r="G750" s="17">
        <f>1</f>
        <v>1</v>
      </c>
      <c r="H750" s="17">
        <f>0</f>
        <v>0</v>
      </c>
      <c r="I750" s="16">
        <f>H750/(F750-G750)</f>
        <v>0</v>
      </c>
      <c r="J750" s="17" t="s">
        <v>372</v>
      </c>
      <c r="K750" s="25">
        <f>21</f>
        <v>21</v>
      </c>
      <c r="L750" s="25">
        <f>3</f>
        <v>3</v>
      </c>
      <c r="M750" s="25">
        <f>53</f>
        <v>53</v>
      </c>
      <c r="N750" s="24">
        <f>M750/L750</f>
        <v>17.666666666666668</v>
      </c>
      <c r="O750" s="49" t="s">
        <v>1795</v>
      </c>
    </row>
    <row r="751" spans="1:15" s="54" customFormat="1" x14ac:dyDescent="0.2">
      <c r="A751" s="84">
        <v>1859541</v>
      </c>
      <c r="B751" s="35" t="s">
        <v>1900</v>
      </c>
      <c r="C751" s="2" t="s">
        <v>1901</v>
      </c>
      <c r="D751" s="7">
        <f>0</f>
        <v>0</v>
      </c>
      <c r="E751" s="7">
        <f>0</f>
        <v>0</v>
      </c>
      <c r="F751" s="17">
        <f>2</f>
        <v>2</v>
      </c>
      <c r="G751" s="17">
        <f>0</f>
        <v>0</v>
      </c>
      <c r="H751" s="17">
        <f>11</f>
        <v>11</v>
      </c>
      <c r="I751" s="16">
        <f>H751/(F751-G751)</f>
        <v>5.5</v>
      </c>
      <c r="J751" s="17">
        <v>8</v>
      </c>
      <c r="K751" s="25">
        <f>20</f>
        <v>20</v>
      </c>
      <c r="L751" s="25">
        <f>3</f>
        <v>3</v>
      </c>
      <c r="M751" s="25">
        <f>55</f>
        <v>55</v>
      </c>
      <c r="N751" s="24">
        <f>M751/L751</f>
        <v>18.333333333333332</v>
      </c>
      <c r="O751" s="49" t="s">
        <v>1472</v>
      </c>
    </row>
    <row r="752" spans="1:15" s="54" customFormat="1" x14ac:dyDescent="0.2">
      <c r="A752" s="64"/>
      <c r="B752" s="83" t="s">
        <v>2640</v>
      </c>
      <c r="C752" s="58" t="s">
        <v>2641</v>
      </c>
      <c r="D752" s="59">
        <v>1</v>
      </c>
      <c r="E752" s="59">
        <v>0</v>
      </c>
      <c r="F752" s="60">
        <v>10</v>
      </c>
      <c r="G752" s="60">
        <v>1</v>
      </c>
      <c r="H752" s="60">
        <v>82</v>
      </c>
      <c r="I752" s="61">
        <f>H752/(F752-G752)</f>
        <v>9.1111111111111107</v>
      </c>
      <c r="J752" s="60">
        <v>28</v>
      </c>
      <c r="K752" s="62">
        <v>3</v>
      </c>
      <c r="L752" s="62">
        <v>0</v>
      </c>
      <c r="M752" s="62">
        <v>8</v>
      </c>
      <c r="N752" s="63" t="e">
        <f>M752/L752</f>
        <v>#DIV/0!</v>
      </c>
      <c r="O752" s="66" t="s">
        <v>1634</v>
      </c>
    </row>
    <row r="753" spans="1:15" s="5" customFormat="1" x14ac:dyDescent="0.2">
      <c r="A753" s="4">
        <v>1600191</v>
      </c>
      <c r="B753" s="35" t="s">
        <v>2124</v>
      </c>
      <c r="C753" s="2" t="s">
        <v>2125</v>
      </c>
      <c r="D753" s="7">
        <f>0+2</f>
        <v>2</v>
      </c>
      <c r="E753" s="7">
        <f>0</f>
        <v>0</v>
      </c>
      <c r="F753" s="17">
        <f>9+6</f>
        <v>15</v>
      </c>
      <c r="G753" s="17">
        <f>0+0</f>
        <v>0</v>
      </c>
      <c r="H753" s="17">
        <f>58+23</f>
        <v>81</v>
      </c>
      <c r="I753" s="16">
        <f>H753/(F753-G753)</f>
        <v>5.4</v>
      </c>
      <c r="J753" s="17">
        <v>29</v>
      </c>
      <c r="K753" s="25">
        <f>57.4+26</f>
        <v>83.4</v>
      </c>
      <c r="L753" s="25">
        <f>13+4</f>
        <v>17</v>
      </c>
      <c r="M753" s="25">
        <f>221+96</f>
        <v>317</v>
      </c>
      <c r="N753" s="24">
        <f>M753/L753</f>
        <v>18.647058823529413</v>
      </c>
      <c r="O753" s="49" t="s">
        <v>1369</v>
      </c>
    </row>
    <row r="754" spans="1:15" x14ac:dyDescent="0.2">
      <c r="A754" s="4">
        <v>1137387</v>
      </c>
      <c r="B754" s="51" t="s">
        <v>1416</v>
      </c>
      <c r="C754" s="2" t="s">
        <v>1439</v>
      </c>
      <c r="D754" s="7">
        <f>0+0+0+1+3</f>
        <v>4</v>
      </c>
      <c r="E754" s="7">
        <f>0+0+0+0+0</f>
        <v>0</v>
      </c>
      <c r="F754" s="17">
        <f>2+4+13+14+13</f>
        <v>46</v>
      </c>
      <c r="G754" s="17">
        <f>0+0+2+0+2</f>
        <v>4</v>
      </c>
      <c r="H754" s="17">
        <f>1+27+63+93+60</f>
        <v>244</v>
      </c>
      <c r="I754" s="16">
        <f>H754/(F754-G754)</f>
        <v>5.8095238095238093</v>
      </c>
      <c r="J754" s="17">
        <v>20</v>
      </c>
      <c r="K754" s="25">
        <f>3+4+65+55+64.5</f>
        <v>191.5</v>
      </c>
      <c r="L754" s="25">
        <f>1+2+6+8+12</f>
        <v>29</v>
      </c>
      <c r="M754" s="25">
        <f>27+28+201+153+115</f>
        <v>524</v>
      </c>
      <c r="N754" s="24">
        <f>M754/L754</f>
        <v>18.068965517241381</v>
      </c>
      <c r="O754" s="49" t="s">
        <v>2027</v>
      </c>
    </row>
    <row r="755" spans="1:15" x14ac:dyDescent="0.2">
      <c r="A755" s="4"/>
      <c r="B755" s="35" t="s">
        <v>887</v>
      </c>
      <c r="C755" s="2" t="s">
        <v>196</v>
      </c>
      <c r="D755" s="7">
        <f>0+1+1</f>
        <v>2</v>
      </c>
      <c r="E755" s="7"/>
      <c r="F755" s="17">
        <f>9+1+15+11+9</f>
        <v>45</v>
      </c>
      <c r="G755" s="17">
        <f>1+1+2+0</f>
        <v>4</v>
      </c>
      <c r="H755" s="15">
        <f>22+2+34+43+38</f>
        <v>139</v>
      </c>
      <c r="I755" s="16">
        <f>H755/(F755-G755)</f>
        <v>3.3902439024390243</v>
      </c>
      <c r="J755" s="17">
        <v>16</v>
      </c>
      <c r="K755" s="25">
        <f>27+2+7+13+6</f>
        <v>55</v>
      </c>
      <c r="L755" s="25">
        <f>5+13+2</f>
        <v>20</v>
      </c>
      <c r="M755" s="25">
        <f>75+4+53+82+26</f>
        <v>240</v>
      </c>
      <c r="N755" s="24">
        <f>M755/L755</f>
        <v>12</v>
      </c>
      <c r="O755" s="23"/>
    </row>
    <row r="756" spans="1:15" s="54" customFormat="1" x14ac:dyDescent="0.2">
      <c r="A756" s="84">
        <v>1571902</v>
      </c>
      <c r="B756" s="35" t="s">
        <v>1707</v>
      </c>
      <c r="C756" s="2" t="s">
        <v>1708</v>
      </c>
      <c r="D756" s="7">
        <f>4+2</f>
        <v>6</v>
      </c>
      <c r="E756" s="7">
        <f>3</f>
        <v>3</v>
      </c>
      <c r="F756" s="17">
        <f>12</f>
        <v>12</v>
      </c>
      <c r="G756" s="17">
        <f>3</f>
        <v>3</v>
      </c>
      <c r="H756" s="17">
        <f>345</f>
        <v>345</v>
      </c>
      <c r="I756" s="16">
        <f>H756/(F756-G756)</f>
        <v>38.333333333333336</v>
      </c>
      <c r="J756" s="17">
        <v>82</v>
      </c>
      <c r="K756" s="25"/>
      <c r="L756" s="25"/>
      <c r="M756" s="25"/>
      <c r="N756" s="24" t="e">
        <f>M756/L756</f>
        <v>#DIV/0!</v>
      </c>
      <c r="O756" s="23"/>
    </row>
    <row r="757" spans="1:15" s="54" customFormat="1" x14ac:dyDescent="0.2">
      <c r="A757" s="84">
        <v>1760108</v>
      </c>
      <c r="B757" s="35" t="s">
        <v>1707</v>
      </c>
      <c r="C757" s="2" t="s">
        <v>1708</v>
      </c>
      <c r="D757" s="7">
        <f>3+5+1+6+7+13</f>
        <v>35</v>
      </c>
      <c r="E757" s="7">
        <f>1+5+2+1</f>
        <v>9</v>
      </c>
      <c r="F757" s="17">
        <f>17+15+13+12</f>
        <v>57</v>
      </c>
      <c r="G757" s="17">
        <f>2+1+0+0</f>
        <v>3</v>
      </c>
      <c r="H757" s="17">
        <f>504+354+192+133</f>
        <v>1183</v>
      </c>
      <c r="I757" s="16">
        <f>H757/(F757-G757)</f>
        <v>21.907407407407408</v>
      </c>
      <c r="J757" s="17" t="s">
        <v>408</v>
      </c>
      <c r="K757" s="25">
        <f>2+3.1</f>
        <v>5.0999999999999996</v>
      </c>
      <c r="L757" s="25">
        <f>1+0</f>
        <v>1</v>
      </c>
      <c r="M757" s="25">
        <f>5+20</f>
        <v>25</v>
      </c>
      <c r="N757" s="24">
        <f>M757/L757</f>
        <v>25</v>
      </c>
      <c r="O757" s="49" t="s">
        <v>1365</v>
      </c>
    </row>
    <row r="758" spans="1:15" s="54" customFormat="1" x14ac:dyDescent="0.2">
      <c r="A758" s="64"/>
      <c r="B758" s="65" t="s">
        <v>2642</v>
      </c>
      <c r="C758" s="58" t="s">
        <v>2643</v>
      </c>
      <c r="D758" s="59">
        <v>0</v>
      </c>
      <c r="E758" s="59">
        <v>0</v>
      </c>
      <c r="F758" s="60">
        <v>7</v>
      </c>
      <c r="G758" s="60">
        <v>1</v>
      </c>
      <c r="H758" s="60">
        <v>74</v>
      </c>
      <c r="I758" s="61">
        <f>H758/(F758-G758)</f>
        <v>12.333333333333334</v>
      </c>
      <c r="J758" s="60">
        <v>36</v>
      </c>
      <c r="K758" s="62">
        <v>19</v>
      </c>
      <c r="L758" s="62">
        <v>2</v>
      </c>
      <c r="M758" s="62">
        <v>121</v>
      </c>
      <c r="N758" s="63">
        <f>M758/L758</f>
        <v>60.5</v>
      </c>
      <c r="O758" s="66" t="s">
        <v>2492</v>
      </c>
    </row>
    <row r="759" spans="1:15" s="6" customFormat="1" x14ac:dyDescent="0.2">
      <c r="A759" s="84">
        <v>1473158</v>
      </c>
      <c r="B759" s="85" t="s">
        <v>1552</v>
      </c>
      <c r="C759" s="2" t="s">
        <v>1553</v>
      </c>
      <c r="D759" s="7">
        <f>2+2+4</f>
        <v>8</v>
      </c>
      <c r="E759" s="7">
        <f>2</f>
        <v>2</v>
      </c>
      <c r="F759" s="17">
        <f>11+14</f>
        <v>25</v>
      </c>
      <c r="G759" s="17">
        <f>0+2</f>
        <v>2</v>
      </c>
      <c r="H759" s="17">
        <f>231+245</f>
        <v>476</v>
      </c>
      <c r="I759" s="16">
        <f>H759/(F759-G759)</f>
        <v>20.695652173913043</v>
      </c>
      <c r="J759" s="17">
        <v>91</v>
      </c>
      <c r="K759" s="25">
        <f>70.4+19</f>
        <v>89.4</v>
      </c>
      <c r="L759" s="25">
        <f>19+3</f>
        <v>22</v>
      </c>
      <c r="M759" s="25">
        <f>258+69</f>
        <v>327</v>
      </c>
      <c r="N759" s="24">
        <f>M759/L759</f>
        <v>14.863636363636363</v>
      </c>
      <c r="O759" s="49" t="s">
        <v>1635</v>
      </c>
    </row>
    <row r="760" spans="1:15" s="54" customFormat="1" x14ac:dyDescent="0.2">
      <c r="A760" s="84">
        <v>1449382</v>
      </c>
      <c r="B760" s="85" t="s">
        <v>1554</v>
      </c>
      <c r="C760" s="2" t="s">
        <v>1555</v>
      </c>
      <c r="D760" s="7">
        <f>1</f>
        <v>1</v>
      </c>
      <c r="E760" s="7">
        <f>0</f>
        <v>0</v>
      </c>
      <c r="F760" s="17">
        <f>6</f>
        <v>6</v>
      </c>
      <c r="G760" s="17">
        <f>2</f>
        <v>2</v>
      </c>
      <c r="H760" s="17">
        <f>47</f>
        <v>47</v>
      </c>
      <c r="I760" s="16">
        <f>H760/(F760-G760)</f>
        <v>11.75</v>
      </c>
      <c r="J760" s="17" t="s">
        <v>379</v>
      </c>
      <c r="K760" s="25">
        <f>25</f>
        <v>25</v>
      </c>
      <c r="L760" s="25">
        <f>3</f>
        <v>3</v>
      </c>
      <c r="M760" s="25">
        <f>98</f>
        <v>98</v>
      </c>
      <c r="N760" s="24">
        <f>M760/L760</f>
        <v>32.666666666666664</v>
      </c>
      <c r="O760" s="49" t="s">
        <v>1351</v>
      </c>
    </row>
    <row r="761" spans="1:15" x14ac:dyDescent="0.2">
      <c r="A761" s="64">
        <v>2244788</v>
      </c>
      <c r="B761" s="83" t="s">
        <v>2490</v>
      </c>
      <c r="C761" s="58" t="s">
        <v>2491</v>
      </c>
      <c r="D761" s="59">
        <v>1</v>
      </c>
      <c r="E761" s="59">
        <v>0</v>
      </c>
      <c r="F761" s="60">
        <f>12+7</f>
        <v>19</v>
      </c>
      <c r="G761" s="60">
        <f>1+1</f>
        <v>2</v>
      </c>
      <c r="H761" s="60">
        <f>293+186</f>
        <v>479</v>
      </c>
      <c r="I761" s="61">
        <f>H761/(F761-G761)</f>
        <v>28.176470588235293</v>
      </c>
      <c r="J761" s="60" t="s">
        <v>293</v>
      </c>
      <c r="K761" s="62">
        <v>37.5</v>
      </c>
      <c r="L761" s="62">
        <v>8</v>
      </c>
      <c r="M761" s="62">
        <v>168</v>
      </c>
      <c r="N761" s="63">
        <f>M761/L761</f>
        <v>21</v>
      </c>
      <c r="O761" s="66" t="s">
        <v>1803</v>
      </c>
    </row>
    <row r="762" spans="1:15" s="5" customFormat="1" x14ac:dyDescent="0.2">
      <c r="A762" s="4">
        <v>2156053</v>
      </c>
      <c r="B762" s="35" t="s">
        <v>2355</v>
      </c>
      <c r="C762" s="2" t="s">
        <v>162</v>
      </c>
      <c r="D762" s="7">
        <f>1</f>
        <v>1</v>
      </c>
      <c r="E762" s="7">
        <f>0</f>
        <v>0</v>
      </c>
      <c r="F762" s="17">
        <f>4+9</f>
        <v>13</v>
      </c>
      <c r="G762" s="17">
        <f>0+0</f>
        <v>0</v>
      </c>
      <c r="H762" s="17">
        <f>24+165</f>
        <v>189</v>
      </c>
      <c r="I762" s="16">
        <f>H762/(F762-G762)</f>
        <v>14.538461538461538</v>
      </c>
      <c r="J762" s="17">
        <v>75</v>
      </c>
      <c r="K762" s="25">
        <v>28</v>
      </c>
      <c r="L762" s="25">
        <v>8</v>
      </c>
      <c r="M762" s="25">
        <v>101</v>
      </c>
      <c r="N762" s="24">
        <f>M762/L762</f>
        <v>12.625</v>
      </c>
      <c r="O762" s="49" t="s">
        <v>2493</v>
      </c>
    </row>
    <row r="763" spans="1:15" s="5" customFormat="1" x14ac:dyDescent="0.2">
      <c r="A763" s="57"/>
      <c r="B763" s="65" t="s">
        <v>2723</v>
      </c>
      <c r="C763" s="58" t="s">
        <v>1850</v>
      </c>
      <c r="D763" s="59">
        <v>0</v>
      </c>
      <c r="E763" s="59"/>
      <c r="F763" s="60">
        <v>14</v>
      </c>
      <c r="G763" s="60">
        <v>0</v>
      </c>
      <c r="H763" s="60">
        <v>193</v>
      </c>
      <c r="I763" s="61">
        <f>H763/(F763-G763)</f>
        <v>13.785714285714286</v>
      </c>
      <c r="J763" s="60">
        <v>48</v>
      </c>
      <c r="K763" s="62">
        <v>0</v>
      </c>
      <c r="L763" s="62">
        <v>0</v>
      </c>
      <c r="M763" s="62">
        <v>0</v>
      </c>
      <c r="N763" s="63" t="e">
        <f>M763/L763</f>
        <v>#DIV/0!</v>
      </c>
      <c r="O763" s="66"/>
    </row>
    <row r="764" spans="1:15" x14ac:dyDescent="0.2">
      <c r="A764" s="4">
        <v>1648101</v>
      </c>
      <c r="B764" s="35" t="s">
        <v>2356</v>
      </c>
      <c r="C764" s="2" t="s">
        <v>2357</v>
      </c>
      <c r="D764" s="7">
        <f>3+2</f>
        <v>5</v>
      </c>
      <c r="E764" s="7">
        <f>0+0</f>
        <v>0</v>
      </c>
      <c r="F764" s="17">
        <f>13+9</f>
        <v>22</v>
      </c>
      <c r="G764" s="17">
        <f>0+1</f>
        <v>1</v>
      </c>
      <c r="H764" s="17">
        <f>159+78</f>
        <v>237</v>
      </c>
      <c r="I764" s="16">
        <f>H764/(F764-G764)</f>
        <v>11.285714285714286</v>
      </c>
      <c r="J764" s="17">
        <v>52</v>
      </c>
      <c r="K764" s="25">
        <v>24.4</v>
      </c>
      <c r="L764" s="25">
        <v>4</v>
      </c>
      <c r="M764" s="25">
        <v>73</v>
      </c>
      <c r="N764" s="24">
        <f>M764/L764</f>
        <v>18.25</v>
      </c>
      <c r="O764" s="49" t="s">
        <v>1370</v>
      </c>
    </row>
    <row r="765" spans="1:15" s="5" customFormat="1" x14ac:dyDescent="0.2">
      <c r="A765" s="57">
        <v>665462</v>
      </c>
      <c r="B765" s="65" t="s">
        <v>2126</v>
      </c>
      <c r="C765" s="58" t="s">
        <v>27</v>
      </c>
      <c r="D765" s="59">
        <f>3+1</f>
        <v>4</v>
      </c>
      <c r="E765" s="59"/>
      <c r="F765" s="60">
        <f>6</f>
        <v>6</v>
      </c>
      <c r="G765" s="60">
        <f>1</f>
        <v>1</v>
      </c>
      <c r="H765" s="60">
        <f>45</f>
        <v>45</v>
      </c>
      <c r="I765" s="61">
        <f>H765/(F765-G765)</f>
        <v>9</v>
      </c>
      <c r="J765" s="60" t="s">
        <v>429</v>
      </c>
      <c r="K765" s="62">
        <f>31+6</f>
        <v>37</v>
      </c>
      <c r="L765" s="62">
        <f>4+2</f>
        <v>6</v>
      </c>
      <c r="M765" s="62">
        <f>169+39</f>
        <v>208</v>
      </c>
      <c r="N765" s="63">
        <f>M765/L765</f>
        <v>34.666666666666664</v>
      </c>
      <c r="O765" s="66" t="s">
        <v>2613</v>
      </c>
    </row>
    <row r="766" spans="1:15" x14ac:dyDescent="0.2">
      <c r="A766" s="4"/>
      <c r="B766" s="35" t="s">
        <v>888</v>
      </c>
      <c r="C766" s="2" t="s">
        <v>8</v>
      </c>
      <c r="D766" s="7">
        <v>10</v>
      </c>
      <c r="E766" s="7"/>
      <c r="F766" s="17">
        <v>29</v>
      </c>
      <c r="G766" s="17">
        <v>3</v>
      </c>
      <c r="H766" s="15">
        <v>446</v>
      </c>
      <c r="I766" s="16">
        <f>H766/(F766-G766)</f>
        <v>17.153846153846153</v>
      </c>
      <c r="J766" s="17" t="s">
        <v>427</v>
      </c>
      <c r="K766" s="25">
        <v>1.4</v>
      </c>
      <c r="L766" s="25">
        <v>1</v>
      </c>
      <c r="M766" s="25">
        <v>14</v>
      </c>
      <c r="N766" s="24">
        <f>M766/L766</f>
        <v>14</v>
      </c>
      <c r="O766" s="23"/>
    </row>
    <row r="767" spans="1:15" s="5" customFormat="1" x14ac:dyDescent="0.2">
      <c r="A767" s="4"/>
      <c r="B767" s="35" t="s">
        <v>889</v>
      </c>
      <c r="C767" s="2" t="s">
        <v>71</v>
      </c>
      <c r="D767" s="7">
        <f>4+2+4+3+7</f>
        <v>20</v>
      </c>
      <c r="E767" s="7"/>
      <c r="F767" s="17">
        <f>15+11+15+15+13</f>
        <v>69</v>
      </c>
      <c r="G767" s="17">
        <f>2+1+3+1</f>
        <v>7</v>
      </c>
      <c r="H767" s="17">
        <f>14+150+172+156+159</f>
        <v>651</v>
      </c>
      <c r="I767" s="16">
        <f>H767/(F767-G767)</f>
        <v>10.5</v>
      </c>
      <c r="J767" s="17">
        <v>63</v>
      </c>
      <c r="K767" s="25">
        <f>41+77+51+61+64</f>
        <v>294</v>
      </c>
      <c r="L767" s="25">
        <f>7+15+8+12+13</f>
        <v>55</v>
      </c>
      <c r="M767" s="25">
        <f>132+139+159+131+201</f>
        <v>762</v>
      </c>
      <c r="N767" s="24">
        <f>M767/L767</f>
        <v>13.854545454545455</v>
      </c>
      <c r="O767" s="23"/>
    </row>
    <row r="768" spans="1:15" s="5" customFormat="1" x14ac:dyDescent="0.2">
      <c r="A768" s="4"/>
      <c r="B768" s="35" t="s">
        <v>890</v>
      </c>
      <c r="C768" s="2" t="s">
        <v>117</v>
      </c>
      <c r="D768" s="7">
        <f>5+1</f>
        <v>6</v>
      </c>
      <c r="E768" s="7"/>
      <c r="F768" s="17">
        <f>9+1+10</f>
        <v>20</v>
      </c>
      <c r="G768" s="17">
        <f>1+1+2</f>
        <v>4</v>
      </c>
      <c r="H768" s="17">
        <f>90+11+42</f>
        <v>143</v>
      </c>
      <c r="I768" s="16">
        <f>H768/(F768-G768)</f>
        <v>8.9375</v>
      </c>
      <c r="J768" s="17">
        <v>27</v>
      </c>
      <c r="K768" s="25">
        <f>105+13+117</f>
        <v>235</v>
      </c>
      <c r="L768" s="25">
        <f>26+3+21</f>
        <v>50</v>
      </c>
      <c r="M768" s="25">
        <f>313+76+349</f>
        <v>738</v>
      </c>
      <c r="N768" s="24">
        <f>M768/L768</f>
        <v>14.76</v>
      </c>
      <c r="O768" s="23"/>
    </row>
    <row r="769" spans="1:15" s="54" customFormat="1" x14ac:dyDescent="0.2">
      <c r="A769" s="4"/>
      <c r="B769" s="35" t="s">
        <v>891</v>
      </c>
      <c r="C769" s="2" t="s">
        <v>19</v>
      </c>
      <c r="D769" s="7">
        <v>1</v>
      </c>
      <c r="E769" s="7"/>
      <c r="F769" s="17">
        <v>12</v>
      </c>
      <c r="G769" s="17">
        <v>2</v>
      </c>
      <c r="H769" s="17">
        <v>30</v>
      </c>
      <c r="I769" s="16">
        <f>H769/(F769-G769)</f>
        <v>3</v>
      </c>
      <c r="J769" s="17">
        <v>11</v>
      </c>
      <c r="K769" s="25"/>
      <c r="L769" s="25"/>
      <c r="M769" s="25"/>
      <c r="N769" s="24" t="e">
        <f>M769/L769</f>
        <v>#DIV/0!</v>
      </c>
      <c r="O769" s="23"/>
    </row>
    <row r="770" spans="1:15" s="5" customFormat="1" x14ac:dyDescent="0.2">
      <c r="A770" s="4"/>
      <c r="B770" s="35" t="s">
        <v>892</v>
      </c>
      <c r="C770" s="2" t="s">
        <v>14</v>
      </c>
      <c r="D770" s="7">
        <v>1</v>
      </c>
      <c r="E770" s="7"/>
      <c r="F770" s="17">
        <v>11</v>
      </c>
      <c r="G770" s="17">
        <v>2</v>
      </c>
      <c r="H770" s="17">
        <v>22</v>
      </c>
      <c r="I770" s="16">
        <f>H770/(F770-G770)</f>
        <v>2.4444444444444446</v>
      </c>
      <c r="J770" s="17">
        <v>5</v>
      </c>
      <c r="K770" s="25"/>
      <c r="L770" s="25"/>
      <c r="M770" s="25"/>
      <c r="N770" s="24" t="e">
        <f>M770/L770</f>
        <v>#DIV/0!</v>
      </c>
      <c r="O770" s="23"/>
    </row>
    <row r="771" spans="1:15" s="5" customFormat="1" x14ac:dyDescent="0.2">
      <c r="A771" s="57">
        <v>880705</v>
      </c>
      <c r="B771" s="65" t="s">
        <v>893</v>
      </c>
      <c r="C771" s="58" t="s">
        <v>93</v>
      </c>
      <c r="D771" s="59">
        <f>11+4+3+0+1</f>
        <v>19</v>
      </c>
      <c r="E771" s="59"/>
      <c r="F771" s="60">
        <f>49+15+13+3+6+10</f>
        <v>96</v>
      </c>
      <c r="G771" s="95">
        <f>6+1+1+0+2+5</f>
        <v>15</v>
      </c>
      <c r="H771" s="60">
        <f>419+262+160+72+72+103</f>
        <v>1088</v>
      </c>
      <c r="I771" s="61">
        <f>H771/(F771-G771)</f>
        <v>13.432098765432098</v>
      </c>
      <c r="J771" s="60">
        <v>61</v>
      </c>
      <c r="K771" s="62">
        <f>64+134.2+107+25+44+91.1</f>
        <v>465.29999999999995</v>
      </c>
      <c r="L771" s="62">
        <f>5+24+21+2+12+20</f>
        <v>84</v>
      </c>
      <c r="M771" s="62">
        <f>177+495+377+55+170+380</f>
        <v>1654</v>
      </c>
      <c r="N771" s="63">
        <f>M771/L771</f>
        <v>19.69047619047619</v>
      </c>
      <c r="O771" s="66" t="s">
        <v>1458</v>
      </c>
    </row>
    <row r="772" spans="1:15" s="54" customFormat="1" x14ac:dyDescent="0.2">
      <c r="A772" s="4">
        <v>663121</v>
      </c>
      <c r="B772" s="51" t="s">
        <v>1441</v>
      </c>
      <c r="C772" s="2" t="s">
        <v>1440</v>
      </c>
      <c r="D772" s="7">
        <f>3+2</f>
        <v>5</v>
      </c>
      <c r="E772" s="7">
        <f>0+0</f>
        <v>0</v>
      </c>
      <c r="F772" s="17">
        <f>1+1</f>
        <v>2</v>
      </c>
      <c r="G772" s="17">
        <f>0+1</f>
        <v>1</v>
      </c>
      <c r="H772" s="17">
        <f>0+4</f>
        <v>4</v>
      </c>
      <c r="I772" s="16">
        <f>H772/(F772-G772)</f>
        <v>4</v>
      </c>
      <c r="J772" s="17" t="s">
        <v>289</v>
      </c>
      <c r="K772" s="25"/>
      <c r="L772" s="25"/>
      <c r="M772" s="25"/>
      <c r="N772" s="24" t="e">
        <f>M772/L772</f>
        <v>#DIV/0!</v>
      </c>
      <c r="O772" s="23"/>
    </row>
    <row r="773" spans="1:15" s="54" customFormat="1" x14ac:dyDescent="0.2">
      <c r="A773" s="4">
        <v>1984766</v>
      </c>
      <c r="B773" s="51" t="s">
        <v>2581</v>
      </c>
      <c r="C773" s="2" t="s">
        <v>2582</v>
      </c>
      <c r="D773" s="7">
        <v>0</v>
      </c>
      <c r="E773" s="7">
        <v>0</v>
      </c>
      <c r="F773" s="17">
        <v>1</v>
      </c>
      <c r="G773" s="17">
        <v>0</v>
      </c>
      <c r="H773" s="17">
        <v>0</v>
      </c>
      <c r="I773" s="16">
        <f>H773/(F773-G773)</f>
        <v>0</v>
      </c>
      <c r="J773" s="17">
        <v>0</v>
      </c>
      <c r="K773" s="25">
        <v>0</v>
      </c>
      <c r="L773" s="25">
        <v>0</v>
      </c>
      <c r="M773" s="25">
        <v>0</v>
      </c>
      <c r="N773" s="24" t="e">
        <f>M773/L773</f>
        <v>#DIV/0!</v>
      </c>
      <c r="O773" s="23"/>
    </row>
    <row r="774" spans="1:15" x14ac:dyDescent="0.2">
      <c r="A774" s="4"/>
      <c r="B774" s="34" t="s">
        <v>894</v>
      </c>
      <c r="C774" s="2" t="s">
        <v>43</v>
      </c>
      <c r="D774" s="7">
        <f>0</f>
        <v>0</v>
      </c>
      <c r="E774" s="7"/>
      <c r="F774" s="17">
        <f>5</f>
        <v>5</v>
      </c>
      <c r="G774" s="17">
        <f>1</f>
        <v>1</v>
      </c>
      <c r="H774" s="17">
        <f>7</f>
        <v>7</v>
      </c>
      <c r="I774" s="16">
        <f>H774/(F774-G774)</f>
        <v>1.75</v>
      </c>
      <c r="J774" s="17">
        <v>2</v>
      </c>
      <c r="K774" s="25">
        <f>11</f>
        <v>11</v>
      </c>
      <c r="L774" s="25">
        <f>1</f>
        <v>1</v>
      </c>
      <c r="M774" s="25">
        <f>39</f>
        <v>39</v>
      </c>
      <c r="N774" s="24">
        <f>M774/L774</f>
        <v>39</v>
      </c>
      <c r="O774" s="23"/>
    </row>
    <row r="775" spans="1:15" s="6" customFormat="1" x14ac:dyDescent="0.2">
      <c r="A775" s="4"/>
      <c r="B775" s="35" t="s">
        <v>895</v>
      </c>
      <c r="C775" s="2" t="s">
        <v>16</v>
      </c>
      <c r="D775" s="7"/>
      <c r="E775" s="7"/>
      <c r="F775" s="17">
        <v>5</v>
      </c>
      <c r="G775" s="17">
        <v>0</v>
      </c>
      <c r="H775" s="17">
        <v>2</v>
      </c>
      <c r="I775" s="16">
        <f>H775/(F775-G775)</f>
        <v>0.4</v>
      </c>
      <c r="J775" s="17">
        <v>2</v>
      </c>
      <c r="K775" s="25">
        <v>8</v>
      </c>
      <c r="L775" s="25">
        <v>1</v>
      </c>
      <c r="M775" s="25">
        <v>61</v>
      </c>
      <c r="N775" s="24">
        <f>M775/L775</f>
        <v>61</v>
      </c>
      <c r="O775" s="23"/>
    </row>
    <row r="776" spans="1:15" s="54" customFormat="1" x14ac:dyDescent="0.2">
      <c r="A776" s="4"/>
      <c r="B776" s="35" t="s">
        <v>896</v>
      </c>
      <c r="C776" s="2" t="s">
        <v>19</v>
      </c>
      <c r="D776" s="7">
        <v>2</v>
      </c>
      <c r="E776" s="7"/>
      <c r="F776" s="17">
        <f>2+7</f>
        <v>9</v>
      </c>
      <c r="G776" s="17">
        <v>0</v>
      </c>
      <c r="H776" s="17">
        <f>9+13</f>
        <v>22</v>
      </c>
      <c r="I776" s="16">
        <f>H776/(F776-G776)</f>
        <v>2.4444444444444446</v>
      </c>
      <c r="J776" s="17">
        <v>7</v>
      </c>
      <c r="K776" s="25">
        <v>18</v>
      </c>
      <c r="L776" s="25">
        <v>7</v>
      </c>
      <c r="M776" s="25">
        <v>88</v>
      </c>
      <c r="N776" s="24">
        <f>M776/L776</f>
        <v>12.571428571428571</v>
      </c>
      <c r="O776" s="23"/>
    </row>
    <row r="777" spans="1:15" s="6" customFormat="1" x14ac:dyDescent="0.2">
      <c r="A777" s="4"/>
      <c r="B777" s="35" t="s">
        <v>897</v>
      </c>
      <c r="C777" s="2" t="s">
        <v>13</v>
      </c>
      <c r="D777" s="7">
        <v>1</v>
      </c>
      <c r="E777" s="7"/>
      <c r="F777" s="17">
        <v>12</v>
      </c>
      <c r="G777" s="17">
        <v>1</v>
      </c>
      <c r="H777" s="17">
        <v>97</v>
      </c>
      <c r="I777" s="16">
        <f>H777/(F777-G777)</f>
        <v>8.8181818181818183</v>
      </c>
      <c r="J777" s="17">
        <v>22</v>
      </c>
      <c r="K777" s="25">
        <v>37</v>
      </c>
      <c r="L777" s="25">
        <v>10</v>
      </c>
      <c r="M777" s="25">
        <v>189</v>
      </c>
      <c r="N777" s="24">
        <f>M777/L777</f>
        <v>18.899999999999999</v>
      </c>
      <c r="O777" s="23"/>
    </row>
    <row r="778" spans="1:15" s="6" customFormat="1" x14ac:dyDescent="0.2">
      <c r="A778" s="4"/>
      <c r="B778" s="35" t="s">
        <v>898</v>
      </c>
      <c r="C778" s="2" t="s">
        <v>16</v>
      </c>
      <c r="D778" s="7">
        <v>3</v>
      </c>
      <c r="E778" s="7"/>
      <c r="F778" s="17">
        <v>6</v>
      </c>
      <c r="G778" s="17">
        <v>1</v>
      </c>
      <c r="H778" s="17">
        <v>23</v>
      </c>
      <c r="I778" s="16">
        <f>H778/(F778-G778)</f>
        <v>4.5999999999999996</v>
      </c>
      <c r="J778" s="17">
        <v>10</v>
      </c>
      <c r="K778" s="25">
        <v>10</v>
      </c>
      <c r="L778" s="25">
        <v>3</v>
      </c>
      <c r="M778" s="25">
        <v>45</v>
      </c>
      <c r="N778" s="24">
        <f>M778/L778</f>
        <v>15</v>
      </c>
      <c r="O778" s="23"/>
    </row>
    <row r="779" spans="1:15" s="5" customFormat="1" x14ac:dyDescent="0.2">
      <c r="A779" s="4"/>
      <c r="B779" s="35" t="s">
        <v>899</v>
      </c>
      <c r="C779" s="2" t="s">
        <v>20</v>
      </c>
      <c r="D779" s="7">
        <v>22</v>
      </c>
      <c r="E779" s="7"/>
      <c r="F779" s="17">
        <v>23</v>
      </c>
      <c r="G779" s="17">
        <v>6</v>
      </c>
      <c r="H779" s="17">
        <v>543</v>
      </c>
      <c r="I779" s="16">
        <f>H779/(F779-G779)</f>
        <v>31.941176470588236</v>
      </c>
      <c r="J779" s="17">
        <v>151</v>
      </c>
      <c r="K779" s="25">
        <v>163</v>
      </c>
      <c r="L779" s="25">
        <v>33</v>
      </c>
      <c r="M779" s="25">
        <v>382</v>
      </c>
      <c r="N779" s="24">
        <f>M779/L779</f>
        <v>11.575757575757576</v>
      </c>
      <c r="O779" s="23"/>
    </row>
    <row r="780" spans="1:15" s="5" customFormat="1" x14ac:dyDescent="0.2">
      <c r="A780" s="4"/>
      <c r="B780" s="35" t="s">
        <v>900</v>
      </c>
      <c r="C780" s="2" t="s">
        <v>85</v>
      </c>
      <c r="D780" s="7">
        <f>3+12+2</f>
        <v>17</v>
      </c>
      <c r="E780" s="7"/>
      <c r="F780" s="17">
        <f>6+9+3</f>
        <v>18</v>
      </c>
      <c r="G780" s="17">
        <f>1+1</f>
        <v>2</v>
      </c>
      <c r="H780" s="17">
        <f>31+221+8</f>
        <v>260</v>
      </c>
      <c r="I780" s="16">
        <f>H780/(F780-G780)</f>
        <v>16.25</v>
      </c>
      <c r="J780" s="17">
        <v>96</v>
      </c>
      <c r="K780" s="25">
        <v>10</v>
      </c>
      <c r="L780" s="25">
        <v>1</v>
      </c>
      <c r="M780" s="25">
        <v>42</v>
      </c>
      <c r="N780" s="24">
        <f>M780/L780</f>
        <v>42</v>
      </c>
      <c r="O780" s="23"/>
    </row>
    <row r="781" spans="1:15" s="5" customFormat="1" x14ac:dyDescent="0.2">
      <c r="A781" s="4"/>
      <c r="B781" s="35" t="s">
        <v>901</v>
      </c>
      <c r="C781" s="2" t="s">
        <v>10</v>
      </c>
      <c r="D781" s="7">
        <f>7+5+1+4</f>
        <v>17</v>
      </c>
      <c r="E781" s="7"/>
      <c r="F781" s="17">
        <f>16+7+10+2+1+6+2</f>
        <v>44</v>
      </c>
      <c r="G781" s="17">
        <f>2+1+3+1</f>
        <v>7</v>
      </c>
      <c r="H781" s="17">
        <f>87+28+80+13+48+49+7</f>
        <v>312</v>
      </c>
      <c r="I781" s="16">
        <f>H781/(F781-G781)</f>
        <v>8.4324324324324316</v>
      </c>
      <c r="J781" s="17">
        <v>48</v>
      </c>
      <c r="K781" s="25">
        <f>83+48+48+53+5+12</f>
        <v>249</v>
      </c>
      <c r="L781" s="25">
        <f>13+23+12+9+5</f>
        <v>62</v>
      </c>
      <c r="M781" s="25">
        <f>204+118+126+206+26+30</f>
        <v>710</v>
      </c>
      <c r="N781" s="24">
        <f>M781/L781</f>
        <v>11.451612903225806</v>
      </c>
      <c r="O781" s="23"/>
    </row>
    <row r="782" spans="1:15" s="5" customFormat="1" x14ac:dyDescent="0.2">
      <c r="A782" s="4"/>
      <c r="B782" s="35" t="s">
        <v>902</v>
      </c>
      <c r="C782" s="2" t="s">
        <v>21</v>
      </c>
      <c r="D782" s="7">
        <v>1</v>
      </c>
      <c r="E782" s="7"/>
      <c r="F782" s="17">
        <v>8</v>
      </c>
      <c r="G782" s="17">
        <v>1</v>
      </c>
      <c r="H782" s="17">
        <v>32</v>
      </c>
      <c r="I782" s="16">
        <f>H782/(F782-G782)</f>
        <v>4.5714285714285712</v>
      </c>
      <c r="J782" s="17">
        <v>12</v>
      </c>
      <c r="K782" s="25">
        <v>10</v>
      </c>
      <c r="L782" s="25">
        <v>0</v>
      </c>
      <c r="M782" s="25">
        <v>43</v>
      </c>
      <c r="N782" s="24" t="e">
        <f>M782/L782</f>
        <v>#DIV/0!</v>
      </c>
      <c r="O782" s="23"/>
    </row>
    <row r="783" spans="1:15" s="5" customFormat="1" x14ac:dyDescent="0.2">
      <c r="A783" s="4">
        <v>241657</v>
      </c>
      <c r="B783" s="51" t="s">
        <v>1477</v>
      </c>
      <c r="C783" s="2" t="s">
        <v>80</v>
      </c>
      <c r="D783" s="7">
        <f>0+2</f>
        <v>2</v>
      </c>
      <c r="E783" s="7">
        <f>0+1</f>
        <v>1</v>
      </c>
      <c r="F783" s="17">
        <f>1</f>
        <v>1</v>
      </c>
      <c r="G783" s="17">
        <f>0</f>
        <v>0</v>
      </c>
      <c r="H783" s="17">
        <f>12</f>
        <v>12</v>
      </c>
      <c r="I783" s="16">
        <f>H783/(F783-G783)</f>
        <v>12</v>
      </c>
      <c r="J783" s="17">
        <v>12</v>
      </c>
      <c r="K783" s="25"/>
      <c r="L783" s="25"/>
      <c r="M783" s="25"/>
      <c r="N783" s="24" t="e">
        <f>M783/L783</f>
        <v>#DIV/0!</v>
      </c>
      <c r="O783" s="23"/>
    </row>
    <row r="784" spans="1:15" s="5" customFormat="1" x14ac:dyDescent="0.2">
      <c r="A784" s="4"/>
      <c r="B784" s="35" t="s">
        <v>903</v>
      </c>
      <c r="C784" s="2" t="s">
        <v>72</v>
      </c>
      <c r="D784" s="7">
        <v>3</v>
      </c>
      <c r="E784" s="7"/>
      <c r="F784" s="17">
        <v>12</v>
      </c>
      <c r="G784" s="17">
        <v>3</v>
      </c>
      <c r="H784" s="17">
        <v>40</v>
      </c>
      <c r="I784" s="16">
        <f>H784/(F784-G784)</f>
        <v>4.4444444444444446</v>
      </c>
      <c r="J784" s="17">
        <v>13</v>
      </c>
      <c r="K784" s="25">
        <v>29</v>
      </c>
      <c r="L784" s="25">
        <v>2</v>
      </c>
      <c r="M784" s="25">
        <v>100</v>
      </c>
      <c r="N784" s="24">
        <f>M784/L784</f>
        <v>50</v>
      </c>
      <c r="O784" s="23"/>
    </row>
    <row r="785" spans="1:15" s="6" customFormat="1" x14ac:dyDescent="0.2">
      <c r="A785" s="4">
        <v>681701</v>
      </c>
      <c r="B785" s="34" t="s">
        <v>1709</v>
      </c>
      <c r="C785" s="2" t="s">
        <v>1710</v>
      </c>
      <c r="D785" s="7">
        <f>8+1+2+3+2+1+7+1+2</f>
        <v>27</v>
      </c>
      <c r="E785" s="7">
        <f>0</f>
        <v>0</v>
      </c>
      <c r="F785" s="17">
        <f>9+8+7+4+5+2+11+7</f>
        <v>53</v>
      </c>
      <c r="G785" s="17">
        <f>3+1+0+1+1+0+1+3</f>
        <v>10</v>
      </c>
      <c r="H785" s="17">
        <f>33+35+14+22+21+0+63+35</f>
        <v>223</v>
      </c>
      <c r="I785" s="16">
        <f>H785/(F785-G785)</f>
        <v>5.1860465116279073</v>
      </c>
      <c r="J785" s="17">
        <v>31</v>
      </c>
      <c r="K785" s="25">
        <f>30+15+3+9+3+27+22</f>
        <v>109</v>
      </c>
      <c r="L785" s="25">
        <f>4+4+0+0+0+8+1</f>
        <v>17</v>
      </c>
      <c r="M785" s="25">
        <f>88+58+32+48+9+116+66</f>
        <v>417</v>
      </c>
      <c r="N785" s="24">
        <f>M785/L785</f>
        <v>24.529411764705884</v>
      </c>
      <c r="O785" s="49" t="s">
        <v>1797</v>
      </c>
    </row>
    <row r="786" spans="1:15" s="6" customFormat="1" x14ac:dyDescent="0.2">
      <c r="A786" s="4"/>
      <c r="B786" s="34" t="s">
        <v>904</v>
      </c>
      <c r="C786" s="2" t="s">
        <v>286</v>
      </c>
      <c r="D786" s="7">
        <v>0</v>
      </c>
      <c r="E786" s="7"/>
      <c r="F786" s="17"/>
      <c r="G786" s="17"/>
      <c r="H786" s="17"/>
      <c r="I786" s="16" t="e">
        <f>H786/(F786-G786)</f>
        <v>#DIV/0!</v>
      </c>
      <c r="J786" s="17"/>
      <c r="K786" s="25"/>
      <c r="L786" s="25"/>
      <c r="M786" s="25"/>
      <c r="N786" s="24" t="e">
        <f>M786/L786</f>
        <v>#DIV/0!</v>
      </c>
      <c r="O786" s="23"/>
    </row>
    <row r="787" spans="1:15" s="5" customFormat="1" x14ac:dyDescent="0.2">
      <c r="A787" s="4"/>
      <c r="B787" s="34" t="s">
        <v>905</v>
      </c>
      <c r="C787" s="2" t="s">
        <v>256</v>
      </c>
      <c r="D787" s="7">
        <v>2</v>
      </c>
      <c r="E787" s="7"/>
      <c r="F787" s="17">
        <v>7</v>
      </c>
      <c r="G787" s="17">
        <v>0</v>
      </c>
      <c r="H787" s="17">
        <v>108</v>
      </c>
      <c r="I787" s="16">
        <f>H787/(F787-G787)</f>
        <v>15.428571428571429</v>
      </c>
      <c r="J787" s="17">
        <v>35</v>
      </c>
      <c r="K787" s="25">
        <v>68</v>
      </c>
      <c r="L787" s="25">
        <v>2</v>
      </c>
      <c r="M787" s="25">
        <v>267</v>
      </c>
      <c r="N787" s="24">
        <f>M787/L787</f>
        <v>133.5</v>
      </c>
      <c r="O787" s="23"/>
    </row>
    <row r="788" spans="1:15" s="54" customFormat="1" x14ac:dyDescent="0.2">
      <c r="A788" s="4"/>
      <c r="B788" s="35" t="s">
        <v>906</v>
      </c>
      <c r="C788" s="2" t="s">
        <v>59</v>
      </c>
      <c r="D788" s="7">
        <f>10+1+1+2</f>
        <v>14</v>
      </c>
      <c r="E788" s="7"/>
      <c r="F788" s="17">
        <f>11+11+1+11</f>
        <v>34</v>
      </c>
      <c r="G788" s="17">
        <f>1+0</f>
        <v>1</v>
      </c>
      <c r="H788" s="17">
        <f>384+331+17+177</f>
        <v>909</v>
      </c>
      <c r="I788" s="16">
        <f>H788/(F788-G788)</f>
        <v>27.545454545454547</v>
      </c>
      <c r="J788" s="17">
        <v>103</v>
      </c>
      <c r="K788" s="25">
        <f>141.4+133.3+5+79</f>
        <v>358.70000000000005</v>
      </c>
      <c r="L788" s="25">
        <f>30+20+16</f>
        <v>66</v>
      </c>
      <c r="M788" s="25">
        <f>350+434+26+212</f>
        <v>1022</v>
      </c>
      <c r="N788" s="24">
        <f>M788/L788</f>
        <v>15.484848484848484</v>
      </c>
      <c r="O788" s="23"/>
    </row>
    <row r="789" spans="1:15" s="54" customFormat="1" x14ac:dyDescent="0.2">
      <c r="A789" s="4"/>
      <c r="B789" s="34" t="s">
        <v>907</v>
      </c>
      <c r="C789" s="2" t="s">
        <v>300</v>
      </c>
      <c r="D789" s="7">
        <f>3</f>
        <v>3</v>
      </c>
      <c r="E789" s="7"/>
      <c r="F789" s="17">
        <f>7</f>
        <v>7</v>
      </c>
      <c r="G789" s="17">
        <f>0</f>
        <v>0</v>
      </c>
      <c r="H789" s="17">
        <f>14</f>
        <v>14</v>
      </c>
      <c r="I789" s="16">
        <f>H789/(F789-G789)</f>
        <v>2</v>
      </c>
      <c r="J789" s="17">
        <v>7</v>
      </c>
      <c r="K789" s="25">
        <f>34.5</f>
        <v>34.5</v>
      </c>
      <c r="L789" s="25">
        <f>11</f>
        <v>11</v>
      </c>
      <c r="M789" s="25">
        <f>119</f>
        <v>119</v>
      </c>
      <c r="N789" s="24">
        <f>M789/L789</f>
        <v>10.818181818181818</v>
      </c>
      <c r="O789" s="23"/>
    </row>
    <row r="790" spans="1:15" s="5" customFormat="1" x14ac:dyDescent="0.2">
      <c r="A790" s="4">
        <v>2076674</v>
      </c>
      <c r="B790" s="35" t="s">
        <v>2358</v>
      </c>
      <c r="C790" s="2" t="s">
        <v>2359</v>
      </c>
      <c r="D790" s="7">
        <f>1</f>
        <v>1</v>
      </c>
      <c r="E790" s="7">
        <f>0</f>
        <v>0</v>
      </c>
      <c r="F790" s="17">
        <f>8</f>
        <v>8</v>
      </c>
      <c r="G790" s="17">
        <f>1</f>
        <v>1</v>
      </c>
      <c r="H790" s="17">
        <f>30</f>
        <v>30</v>
      </c>
      <c r="I790" s="16">
        <f>H790/(F790-G790)</f>
        <v>4.2857142857142856</v>
      </c>
      <c r="J790" s="17">
        <v>11</v>
      </c>
      <c r="K790" s="25">
        <f>38</f>
        <v>38</v>
      </c>
      <c r="L790" s="25">
        <f>11</f>
        <v>11</v>
      </c>
      <c r="M790" s="25">
        <f>178</f>
        <v>178</v>
      </c>
      <c r="N790" s="24">
        <f>M790/L790</f>
        <v>16.181818181818183</v>
      </c>
      <c r="O790" s="49" t="s">
        <v>1380</v>
      </c>
    </row>
    <row r="791" spans="1:15" s="5" customFormat="1" x14ac:dyDescent="0.2">
      <c r="A791" s="4"/>
      <c r="B791" s="35" t="s">
        <v>908</v>
      </c>
      <c r="C791" s="2" t="s">
        <v>142</v>
      </c>
      <c r="D791" s="7">
        <v>28</v>
      </c>
      <c r="E791" s="7"/>
      <c r="F791" s="17">
        <v>51</v>
      </c>
      <c r="G791" s="17">
        <v>15</v>
      </c>
      <c r="H791" s="17">
        <v>851</v>
      </c>
      <c r="I791" s="16">
        <f>H791/(F791-G791)</f>
        <v>23.638888888888889</v>
      </c>
      <c r="J791" s="17" t="s">
        <v>394</v>
      </c>
      <c r="K791" s="25">
        <v>528.4</v>
      </c>
      <c r="L791" s="25">
        <v>101</v>
      </c>
      <c r="M791" s="25">
        <v>1606</v>
      </c>
      <c r="N791" s="24">
        <f>M791/L791</f>
        <v>15.900990099009901</v>
      </c>
      <c r="O791" s="23"/>
    </row>
    <row r="792" spans="1:15" s="5" customFormat="1" x14ac:dyDescent="0.2">
      <c r="A792" s="4"/>
      <c r="B792" s="35" t="s">
        <v>909</v>
      </c>
      <c r="C792" s="2" t="s">
        <v>103</v>
      </c>
      <c r="D792" s="7"/>
      <c r="E792" s="7"/>
      <c r="F792" s="17">
        <f>11+6</f>
        <v>17</v>
      </c>
      <c r="G792" s="17">
        <v>1</v>
      </c>
      <c r="H792" s="17">
        <f>98+38</f>
        <v>136</v>
      </c>
      <c r="I792" s="16">
        <f>H792/(F792-G792)</f>
        <v>8.5</v>
      </c>
      <c r="J792" s="17">
        <v>27</v>
      </c>
      <c r="K792" s="25">
        <f>10+4</f>
        <v>14</v>
      </c>
      <c r="L792" s="25">
        <f>2+1</f>
        <v>3</v>
      </c>
      <c r="M792" s="25">
        <f>61+15</f>
        <v>76</v>
      </c>
      <c r="N792" s="24">
        <f>M792/L792</f>
        <v>25.333333333333332</v>
      </c>
      <c r="O792" s="23"/>
    </row>
    <row r="793" spans="1:15" s="5" customFormat="1" x14ac:dyDescent="0.2">
      <c r="A793" s="4"/>
      <c r="B793" s="35" t="s">
        <v>910</v>
      </c>
      <c r="C793" s="2" t="s">
        <v>101</v>
      </c>
      <c r="D793" s="7">
        <v>18</v>
      </c>
      <c r="E793" s="7"/>
      <c r="F793" s="17">
        <v>69</v>
      </c>
      <c r="G793" s="17">
        <v>23</v>
      </c>
      <c r="H793" s="17">
        <v>443</v>
      </c>
      <c r="I793" s="16">
        <f>H793/(F793-G793)</f>
        <v>9.6304347826086953</v>
      </c>
      <c r="J793" s="17" t="s">
        <v>428</v>
      </c>
      <c r="K793" s="25">
        <v>1507.4</v>
      </c>
      <c r="L793" s="25">
        <v>262</v>
      </c>
      <c r="M793" s="25">
        <v>4501</v>
      </c>
      <c r="N793" s="24">
        <f>M793/L793</f>
        <v>17.179389312977101</v>
      </c>
      <c r="O793" s="23"/>
    </row>
    <row r="794" spans="1:15" s="5" customFormat="1" x14ac:dyDescent="0.2">
      <c r="A794" s="4"/>
      <c r="B794" s="35" t="s">
        <v>911</v>
      </c>
      <c r="C794" s="2" t="s">
        <v>9</v>
      </c>
      <c r="D794" s="7">
        <v>30</v>
      </c>
      <c r="E794" s="7"/>
      <c r="F794" s="17">
        <v>67</v>
      </c>
      <c r="G794" s="17">
        <v>4</v>
      </c>
      <c r="H794" s="17">
        <v>1116</v>
      </c>
      <c r="I794" s="16">
        <f>H794/(F794-G794)</f>
        <v>17.714285714285715</v>
      </c>
      <c r="J794" s="17" t="s">
        <v>338</v>
      </c>
      <c r="K794" s="25">
        <v>25.2</v>
      </c>
      <c r="L794" s="25">
        <v>2</v>
      </c>
      <c r="M794" s="25">
        <v>112</v>
      </c>
      <c r="N794" s="24">
        <f>M794/L794</f>
        <v>56</v>
      </c>
      <c r="O794" s="23"/>
    </row>
    <row r="795" spans="1:15" s="54" customFormat="1" x14ac:dyDescent="0.2">
      <c r="A795" s="4"/>
      <c r="B795" s="35" t="s">
        <v>912</v>
      </c>
      <c r="C795" s="2" t="s">
        <v>12</v>
      </c>
      <c r="D795" s="7">
        <v>1</v>
      </c>
      <c r="E795" s="7"/>
      <c r="F795" s="17">
        <v>12</v>
      </c>
      <c r="G795" s="17">
        <v>2</v>
      </c>
      <c r="H795" s="17">
        <v>128</v>
      </c>
      <c r="I795" s="16">
        <f>H795/(F795-G795)</f>
        <v>12.8</v>
      </c>
      <c r="J795" s="17">
        <v>16</v>
      </c>
      <c r="K795" s="25"/>
      <c r="L795" s="25"/>
      <c r="M795" s="25"/>
      <c r="N795" s="24" t="e">
        <f>M795/L795</f>
        <v>#DIV/0!</v>
      </c>
      <c r="O795" s="23"/>
    </row>
    <row r="796" spans="1:15" s="54" customFormat="1" x14ac:dyDescent="0.2">
      <c r="A796" s="4">
        <v>678124</v>
      </c>
      <c r="B796" s="34" t="s">
        <v>1323</v>
      </c>
      <c r="C796" s="2" t="s">
        <v>75</v>
      </c>
      <c r="D796" s="7">
        <f>5+0</f>
        <v>5</v>
      </c>
      <c r="E796" s="7">
        <f>0</f>
        <v>0</v>
      </c>
      <c r="F796" s="17">
        <f>11+12</f>
        <v>23</v>
      </c>
      <c r="G796" s="17">
        <f>3+0</f>
        <v>3</v>
      </c>
      <c r="H796" s="17">
        <f>30+85</f>
        <v>115</v>
      </c>
      <c r="I796" s="16">
        <f>H796/(F796-G796)</f>
        <v>5.75</v>
      </c>
      <c r="J796" s="17">
        <v>34</v>
      </c>
      <c r="K796" s="25">
        <f>37+68.5</f>
        <v>105.5</v>
      </c>
      <c r="L796" s="25">
        <f>6+34</f>
        <v>40</v>
      </c>
      <c r="M796" s="25">
        <f>150+320</f>
        <v>470</v>
      </c>
      <c r="N796" s="24">
        <f>M796/L796</f>
        <v>11.75</v>
      </c>
      <c r="O796" s="49" t="s">
        <v>1375</v>
      </c>
    </row>
    <row r="797" spans="1:15" s="54" customFormat="1" x14ac:dyDescent="0.2">
      <c r="A797" s="4"/>
      <c r="B797" s="35" t="s">
        <v>913</v>
      </c>
      <c r="C797" s="2" t="s">
        <v>94</v>
      </c>
      <c r="D797" s="7">
        <v>5</v>
      </c>
      <c r="E797" s="7"/>
      <c r="F797" s="17">
        <v>14</v>
      </c>
      <c r="G797" s="17">
        <v>1</v>
      </c>
      <c r="H797" s="17">
        <v>330</v>
      </c>
      <c r="I797" s="16">
        <f>H797/(F797-G797)</f>
        <v>25.384615384615383</v>
      </c>
      <c r="J797" s="17">
        <v>85</v>
      </c>
      <c r="K797" s="25">
        <v>128</v>
      </c>
      <c r="L797" s="25">
        <v>14</v>
      </c>
      <c r="M797" s="25">
        <v>402</v>
      </c>
      <c r="N797" s="24">
        <f>M797/L797</f>
        <v>28.714285714285715</v>
      </c>
      <c r="O797" s="23"/>
    </row>
    <row r="798" spans="1:15" s="54" customFormat="1" x14ac:dyDescent="0.2">
      <c r="A798" s="57">
        <v>1901474</v>
      </c>
      <c r="B798" s="65" t="s">
        <v>2575</v>
      </c>
      <c r="C798" s="58" t="s">
        <v>88</v>
      </c>
      <c r="D798" s="59">
        <v>0</v>
      </c>
      <c r="E798" s="59">
        <v>0</v>
      </c>
      <c r="F798" s="60">
        <f>1+6</f>
        <v>7</v>
      </c>
      <c r="G798" s="60">
        <f>1</f>
        <v>1</v>
      </c>
      <c r="H798" s="60">
        <f>9+51</f>
        <v>60</v>
      </c>
      <c r="I798" s="61">
        <f>H798/(F798-G798)</f>
        <v>10</v>
      </c>
      <c r="J798" s="60" t="s">
        <v>442</v>
      </c>
      <c r="K798" s="62">
        <v>0</v>
      </c>
      <c r="L798" s="62">
        <v>0</v>
      </c>
      <c r="M798" s="62">
        <v>0</v>
      </c>
      <c r="N798" s="63" t="e">
        <f>M798/L798</f>
        <v>#DIV/0!</v>
      </c>
      <c r="O798" s="81"/>
    </row>
    <row r="799" spans="1:15" s="54" customFormat="1" x14ac:dyDescent="0.2">
      <c r="A799" s="84">
        <v>1855339</v>
      </c>
      <c r="B799" s="35" t="s">
        <v>2127</v>
      </c>
      <c r="C799" s="2" t="s">
        <v>1902</v>
      </c>
      <c r="D799" s="7">
        <f>0+0</f>
        <v>0</v>
      </c>
      <c r="E799" s="7">
        <f>0</f>
        <v>0</v>
      </c>
      <c r="F799" s="17">
        <f>5+4</f>
        <v>9</v>
      </c>
      <c r="G799" s="17">
        <f>0+0</f>
        <v>0</v>
      </c>
      <c r="H799" s="17">
        <f>25+25</f>
        <v>50</v>
      </c>
      <c r="I799" s="16">
        <f>H799/(F799-G799)</f>
        <v>5.5555555555555554</v>
      </c>
      <c r="J799" s="17">
        <v>18</v>
      </c>
      <c r="K799" s="25">
        <f>7</f>
        <v>7</v>
      </c>
      <c r="L799" s="25">
        <f>3</f>
        <v>3</v>
      </c>
      <c r="M799" s="25">
        <f>29</f>
        <v>29</v>
      </c>
      <c r="N799" s="24">
        <f>M799/L799</f>
        <v>9.6666666666666661</v>
      </c>
      <c r="O799" s="49" t="s">
        <v>2029</v>
      </c>
    </row>
    <row r="800" spans="1:15" x14ac:dyDescent="0.2">
      <c r="A800" s="4"/>
      <c r="B800" s="35" t="s">
        <v>914</v>
      </c>
      <c r="C800" s="2" t="s">
        <v>10</v>
      </c>
      <c r="D800" s="7">
        <f>11+2</f>
        <v>13</v>
      </c>
      <c r="E800" s="7"/>
      <c r="F800" s="17">
        <f>55+8</f>
        <v>63</v>
      </c>
      <c r="G800" s="17">
        <f>18+1</f>
        <v>19</v>
      </c>
      <c r="H800" s="17">
        <f>105+46</f>
        <v>151</v>
      </c>
      <c r="I800" s="16">
        <f>H800/(F800-G800)</f>
        <v>3.4318181818181817</v>
      </c>
      <c r="J800" s="17">
        <v>14</v>
      </c>
      <c r="K800" s="25">
        <v>106</v>
      </c>
      <c r="L800" s="25">
        <v>18</v>
      </c>
      <c r="M800" s="25">
        <v>413</v>
      </c>
      <c r="N800" s="24">
        <f>M800/L800</f>
        <v>22.944444444444443</v>
      </c>
      <c r="O800" s="23"/>
    </row>
    <row r="801" spans="1:15" s="5" customFormat="1" x14ac:dyDescent="0.2">
      <c r="A801" s="4"/>
      <c r="B801" s="35" t="s">
        <v>915</v>
      </c>
      <c r="C801" s="2" t="s">
        <v>38</v>
      </c>
      <c r="D801" s="7">
        <f>5+11+5+1</f>
        <v>22</v>
      </c>
      <c r="E801" s="7"/>
      <c r="F801" s="17">
        <f>10+6+8+2</f>
        <v>26</v>
      </c>
      <c r="G801" s="17">
        <v>2</v>
      </c>
      <c r="H801" s="17">
        <f>59+50+110+15</f>
        <v>234</v>
      </c>
      <c r="I801" s="16">
        <f>H801/(F801-G801)</f>
        <v>9.75</v>
      </c>
      <c r="J801" s="17">
        <v>54</v>
      </c>
      <c r="K801" s="25">
        <f>23+28+31</f>
        <v>82</v>
      </c>
      <c r="L801" s="25">
        <f>4+6+10</f>
        <v>20</v>
      </c>
      <c r="M801" s="25">
        <f>49+63+79</f>
        <v>191</v>
      </c>
      <c r="N801" s="24">
        <f>M801/L801</f>
        <v>9.5500000000000007</v>
      </c>
      <c r="O801" s="23"/>
    </row>
    <row r="802" spans="1:15" s="5" customFormat="1" x14ac:dyDescent="0.2">
      <c r="A802" s="4"/>
      <c r="B802" s="34" t="s">
        <v>916</v>
      </c>
      <c r="C802" s="2" t="s">
        <v>79</v>
      </c>
      <c r="D802" s="7">
        <f>5</f>
        <v>5</v>
      </c>
      <c r="E802" s="7"/>
      <c r="F802" s="17">
        <f>6</f>
        <v>6</v>
      </c>
      <c r="G802" s="17">
        <f>0</f>
        <v>0</v>
      </c>
      <c r="H802" s="17">
        <f>72</f>
        <v>72</v>
      </c>
      <c r="I802" s="16">
        <f>H802/(F802-G802)</f>
        <v>12</v>
      </c>
      <c r="J802" s="17">
        <v>40</v>
      </c>
      <c r="K802" s="25">
        <f>3</f>
        <v>3</v>
      </c>
      <c r="L802" s="25">
        <f>2</f>
        <v>2</v>
      </c>
      <c r="M802" s="25">
        <f>11</f>
        <v>11</v>
      </c>
      <c r="N802" s="24">
        <f>M802/L802</f>
        <v>5.5</v>
      </c>
      <c r="O802" s="23"/>
    </row>
    <row r="803" spans="1:15" s="5" customFormat="1" x14ac:dyDescent="0.2">
      <c r="A803" s="4">
        <v>2126898</v>
      </c>
      <c r="B803" s="34" t="s">
        <v>2474</v>
      </c>
      <c r="C803" s="2" t="s">
        <v>129</v>
      </c>
      <c r="D803" s="7">
        <v>1</v>
      </c>
      <c r="E803" s="7"/>
      <c r="F803" s="17">
        <v>2</v>
      </c>
      <c r="G803" s="17">
        <v>0</v>
      </c>
      <c r="H803" s="17">
        <v>65</v>
      </c>
      <c r="I803" s="16">
        <f>H803/(F803-G803)</f>
        <v>32.5</v>
      </c>
      <c r="J803" s="17">
        <v>60</v>
      </c>
      <c r="K803" s="25">
        <v>15</v>
      </c>
      <c r="L803" s="25">
        <v>6</v>
      </c>
      <c r="M803" s="25">
        <v>50</v>
      </c>
      <c r="N803" s="24">
        <f>M803/L803</f>
        <v>8.3333333333333339</v>
      </c>
      <c r="O803" s="49" t="s">
        <v>1785</v>
      </c>
    </row>
    <row r="804" spans="1:15" s="5" customFormat="1" x14ac:dyDescent="0.2">
      <c r="A804" s="4"/>
      <c r="B804" s="34" t="s">
        <v>917</v>
      </c>
      <c r="C804" s="2" t="s">
        <v>188</v>
      </c>
      <c r="D804" s="7">
        <f>4+6</f>
        <v>10</v>
      </c>
      <c r="E804" s="7"/>
      <c r="F804" s="17">
        <f>7+10</f>
        <v>17</v>
      </c>
      <c r="G804" s="17">
        <f>0+2</f>
        <v>2</v>
      </c>
      <c r="H804" s="17">
        <f>44+56</f>
        <v>100</v>
      </c>
      <c r="I804" s="16">
        <f>H804/(F804-G804)</f>
        <v>6.666666666666667</v>
      </c>
      <c r="J804" s="17">
        <f>23</f>
        <v>23</v>
      </c>
      <c r="K804" s="25">
        <f>31+53</f>
        <v>84</v>
      </c>
      <c r="L804" s="25">
        <f>5+11</f>
        <v>16</v>
      </c>
      <c r="M804" s="25">
        <f>86+129</f>
        <v>215</v>
      </c>
      <c r="N804" s="24">
        <f>M804/L804</f>
        <v>13.4375</v>
      </c>
      <c r="O804" s="23"/>
    </row>
    <row r="805" spans="1:15" s="6" customFormat="1" x14ac:dyDescent="0.2">
      <c r="A805" s="4"/>
      <c r="B805" s="35" t="s">
        <v>918</v>
      </c>
      <c r="C805" s="2" t="s">
        <v>21</v>
      </c>
      <c r="D805" s="7">
        <v>1</v>
      </c>
      <c r="E805" s="7"/>
      <c r="F805" s="17">
        <v>9</v>
      </c>
      <c r="G805" s="17">
        <v>2</v>
      </c>
      <c r="H805" s="17">
        <v>72</v>
      </c>
      <c r="I805" s="16">
        <f>H805/(F805-G805)</f>
        <v>10.285714285714286</v>
      </c>
      <c r="J805" s="17" t="s">
        <v>429</v>
      </c>
      <c r="K805" s="25">
        <v>19</v>
      </c>
      <c r="L805" s="25">
        <v>3</v>
      </c>
      <c r="M805" s="25">
        <v>69</v>
      </c>
      <c r="N805" s="24">
        <f>M805/L805</f>
        <v>23</v>
      </c>
      <c r="O805" s="23"/>
    </row>
    <row r="806" spans="1:15" s="54" customFormat="1" x14ac:dyDescent="0.2">
      <c r="A806" s="4">
        <v>1940249</v>
      </c>
      <c r="B806" s="35" t="s">
        <v>2360</v>
      </c>
      <c r="C806" s="2" t="s">
        <v>2128</v>
      </c>
      <c r="D806" s="7">
        <f>0+0</f>
        <v>0</v>
      </c>
      <c r="E806" s="7">
        <f>0</f>
        <v>0</v>
      </c>
      <c r="F806" s="17">
        <f>11+14</f>
        <v>25</v>
      </c>
      <c r="G806" s="17">
        <f>1+3</f>
        <v>4</v>
      </c>
      <c r="H806" s="17">
        <f>16+38</f>
        <v>54</v>
      </c>
      <c r="I806" s="16">
        <f>H806/(F806-G806)</f>
        <v>2.5714285714285716</v>
      </c>
      <c r="J806" s="17" t="s">
        <v>442</v>
      </c>
      <c r="K806" s="25">
        <f>2+28.1</f>
        <v>30.1</v>
      </c>
      <c r="L806" s="25">
        <f>0+4</f>
        <v>4</v>
      </c>
      <c r="M806" s="25">
        <f>1+112</f>
        <v>113</v>
      </c>
      <c r="N806" s="24">
        <f>M806/L806</f>
        <v>28.25</v>
      </c>
      <c r="O806" s="49" t="s">
        <v>2462</v>
      </c>
    </row>
    <row r="807" spans="1:15" s="6" customFormat="1" x14ac:dyDescent="0.2">
      <c r="A807" s="84">
        <v>1756224</v>
      </c>
      <c r="B807" s="2" t="s">
        <v>1903</v>
      </c>
      <c r="C807" s="2" t="s">
        <v>1904</v>
      </c>
      <c r="D807" s="7">
        <f>0</f>
        <v>0</v>
      </c>
      <c r="E807" s="7">
        <f>0</f>
        <v>0</v>
      </c>
      <c r="F807" s="17">
        <f>4</f>
        <v>4</v>
      </c>
      <c r="G807" s="17">
        <f>0</f>
        <v>0</v>
      </c>
      <c r="H807" s="17">
        <f>33</f>
        <v>33</v>
      </c>
      <c r="I807" s="16">
        <f>H807/(F807-G807)</f>
        <v>8.25</v>
      </c>
      <c r="J807" s="17">
        <v>23</v>
      </c>
      <c r="K807" s="25">
        <f>12</f>
        <v>12</v>
      </c>
      <c r="L807" s="25">
        <f>1</f>
        <v>1</v>
      </c>
      <c r="M807" s="25">
        <f>40</f>
        <v>40</v>
      </c>
      <c r="N807" s="24">
        <f>M807/L807</f>
        <v>40</v>
      </c>
      <c r="O807" s="49" t="s">
        <v>1643</v>
      </c>
    </row>
    <row r="808" spans="1:15" s="6" customFormat="1" x14ac:dyDescent="0.2">
      <c r="A808" s="4">
        <v>1602700</v>
      </c>
      <c r="B808" s="35" t="s">
        <v>2129</v>
      </c>
      <c r="C808" s="2" t="s">
        <v>2130</v>
      </c>
      <c r="D808" s="7">
        <f>3+2+4</f>
        <v>9</v>
      </c>
      <c r="E808" s="7">
        <f>0</f>
        <v>0</v>
      </c>
      <c r="F808" s="17">
        <f>13+11+5</f>
        <v>29</v>
      </c>
      <c r="G808" s="17">
        <f>2+0+0</f>
        <v>2</v>
      </c>
      <c r="H808" s="17">
        <f>86+21+7</f>
        <v>114</v>
      </c>
      <c r="I808" s="16">
        <f>H808/(F808-G808)</f>
        <v>4.2222222222222223</v>
      </c>
      <c r="J808" s="17" t="s">
        <v>2012</v>
      </c>
      <c r="K808" s="25">
        <f>28.3+37+24.3</f>
        <v>89.6</v>
      </c>
      <c r="L808" s="25">
        <f>2+16+6</f>
        <v>24</v>
      </c>
      <c r="M808" s="25">
        <f>122+123+103</f>
        <v>348</v>
      </c>
      <c r="N808" s="24">
        <f>M808/L808</f>
        <v>14.5</v>
      </c>
      <c r="O808" s="49" t="s">
        <v>1462</v>
      </c>
    </row>
    <row r="809" spans="1:15" s="5" customFormat="1" x14ac:dyDescent="0.2">
      <c r="A809" s="84">
        <v>1615382</v>
      </c>
      <c r="B809" s="35" t="s">
        <v>1711</v>
      </c>
      <c r="C809" s="2" t="s">
        <v>1712</v>
      </c>
      <c r="D809" s="7">
        <f>5</f>
        <v>5</v>
      </c>
      <c r="E809" s="7">
        <f>0</f>
        <v>0</v>
      </c>
      <c r="F809" s="17">
        <f>6</f>
        <v>6</v>
      </c>
      <c r="G809" s="17">
        <f>0</f>
        <v>0</v>
      </c>
      <c r="H809" s="17">
        <f>93</f>
        <v>93</v>
      </c>
      <c r="I809" s="16">
        <f>H809/(F809-G809)</f>
        <v>15.5</v>
      </c>
      <c r="J809" s="17">
        <v>29</v>
      </c>
      <c r="K809" s="25">
        <f>47</f>
        <v>47</v>
      </c>
      <c r="L809" s="25">
        <f>8</f>
        <v>8</v>
      </c>
      <c r="M809" s="25">
        <f>151</f>
        <v>151</v>
      </c>
      <c r="N809" s="24">
        <f>M809/L809</f>
        <v>18.875</v>
      </c>
      <c r="O809" s="49" t="s">
        <v>1469</v>
      </c>
    </row>
    <row r="810" spans="1:15" s="5" customFormat="1" x14ac:dyDescent="0.2">
      <c r="A810" s="64">
        <v>659866</v>
      </c>
      <c r="B810" s="65" t="s">
        <v>1713</v>
      </c>
      <c r="C810" s="58" t="s">
        <v>1714</v>
      </c>
      <c r="D810" s="59">
        <f>0+0+0+0+1</f>
        <v>1</v>
      </c>
      <c r="E810" s="59">
        <f>0+0+0</f>
        <v>0</v>
      </c>
      <c r="F810" s="60">
        <f>8+6+8</f>
        <v>22</v>
      </c>
      <c r="G810" s="60">
        <f>1+1</f>
        <v>2</v>
      </c>
      <c r="H810" s="60">
        <f>80+88+123</f>
        <v>291</v>
      </c>
      <c r="I810" s="61">
        <f>H810/(F810-G810)</f>
        <v>14.55</v>
      </c>
      <c r="J810" s="60">
        <v>51</v>
      </c>
      <c r="K810" s="62">
        <f>11+2+2+4+14</f>
        <v>33</v>
      </c>
      <c r="L810" s="62">
        <f>0+1+0+0+4</f>
        <v>5</v>
      </c>
      <c r="M810" s="62">
        <f>41+10+5+36+61</f>
        <v>153</v>
      </c>
      <c r="N810" s="63">
        <f>M810/L810</f>
        <v>30.6</v>
      </c>
      <c r="O810" s="66" t="s">
        <v>2029</v>
      </c>
    </row>
    <row r="811" spans="1:15" s="54" customFormat="1" x14ac:dyDescent="0.2">
      <c r="A811" s="4">
        <v>1135401</v>
      </c>
      <c r="B811" s="35" t="s">
        <v>2131</v>
      </c>
      <c r="C811" s="2" t="s">
        <v>2132</v>
      </c>
      <c r="D811" s="7">
        <f>0</f>
        <v>0</v>
      </c>
      <c r="E811" s="7"/>
      <c r="F811" s="17">
        <f>1</f>
        <v>1</v>
      </c>
      <c r="G811" s="17">
        <f>0</f>
        <v>0</v>
      </c>
      <c r="H811" s="17">
        <f>7</f>
        <v>7</v>
      </c>
      <c r="I811" s="16">
        <f>H811/(F811-G811)</f>
        <v>7</v>
      </c>
      <c r="J811" s="17">
        <v>7</v>
      </c>
      <c r="K811" s="25"/>
      <c r="L811" s="25"/>
      <c r="M811" s="25"/>
      <c r="N811" s="24" t="e">
        <f>M811/L811</f>
        <v>#DIV/0!</v>
      </c>
      <c r="O811" s="23"/>
    </row>
    <row r="812" spans="1:15" s="5" customFormat="1" x14ac:dyDescent="0.2">
      <c r="A812" s="57"/>
      <c r="B812" s="65" t="s">
        <v>2756</v>
      </c>
      <c r="C812" s="58" t="s">
        <v>2757</v>
      </c>
      <c r="D812" s="59">
        <v>1</v>
      </c>
      <c r="E812" s="59"/>
      <c r="F812" s="60">
        <v>5</v>
      </c>
      <c r="G812" s="60">
        <v>0</v>
      </c>
      <c r="H812" s="60">
        <v>33</v>
      </c>
      <c r="I812" s="61">
        <f>H812/(F812-G812)</f>
        <v>6.6</v>
      </c>
      <c r="J812" s="60">
        <v>22</v>
      </c>
      <c r="K812" s="62">
        <v>23</v>
      </c>
      <c r="L812" s="62">
        <v>5</v>
      </c>
      <c r="M812" s="62">
        <v>78</v>
      </c>
      <c r="N812" s="63">
        <f>M812/L812</f>
        <v>15.6</v>
      </c>
      <c r="O812" s="66" t="s">
        <v>1470</v>
      </c>
    </row>
    <row r="813" spans="1:15" s="5" customFormat="1" x14ac:dyDescent="0.2">
      <c r="A813" s="4"/>
      <c r="B813" s="35" t="s">
        <v>919</v>
      </c>
      <c r="C813" s="2" t="s">
        <v>11</v>
      </c>
      <c r="D813" s="7">
        <f>5+4</f>
        <v>9</v>
      </c>
      <c r="E813" s="7"/>
      <c r="F813" s="17">
        <f>13+2+10</f>
        <v>25</v>
      </c>
      <c r="G813" s="17">
        <f>3+1</f>
        <v>4</v>
      </c>
      <c r="H813" s="17">
        <f>52+9+38</f>
        <v>99</v>
      </c>
      <c r="I813" s="16">
        <f>H813/(F813-G813)</f>
        <v>4.7142857142857144</v>
      </c>
      <c r="J813" s="17">
        <v>18</v>
      </c>
      <c r="K813" s="25">
        <f>26+12+44</f>
        <v>82</v>
      </c>
      <c r="L813" s="25">
        <f>7+2+5</f>
        <v>14</v>
      </c>
      <c r="M813" s="25">
        <f>108+48+181</f>
        <v>337</v>
      </c>
      <c r="N813" s="24">
        <f>M813/L813</f>
        <v>24.071428571428573</v>
      </c>
      <c r="O813" s="23"/>
    </row>
    <row r="814" spans="1:15" s="5" customFormat="1" x14ac:dyDescent="0.2">
      <c r="A814" s="4"/>
      <c r="B814" s="35" t="s">
        <v>920</v>
      </c>
      <c r="C814" s="2" t="s">
        <v>9</v>
      </c>
      <c r="D814" s="7">
        <v>1</v>
      </c>
      <c r="E814" s="7"/>
      <c r="F814" s="17">
        <v>5</v>
      </c>
      <c r="G814" s="17">
        <v>1</v>
      </c>
      <c r="H814" s="17">
        <v>80</v>
      </c>
      <c r="I814" s="16">
        <f>H814/(F814-G814)</f>
        <v>20</v>
      </c>
      <c r="J814" s="17">
        <v>35</v>
      </c>
      <c r="K814" s="25">
        <v>20</v>
      </c>
      <c r="L814" s="25">
        <v>1</v>
      </c>
      <c r="M814" s="25">
        <v>65</v>
      </c>
      <c r="N814" s="24">
        <f>M814/L814</f>
        <v>65</v>
      </c>
      <c r="O814" s="23"/>
    </row>
    <row r="815" spans="1:15" s="5" customFormat="1" x14ac:dyDescent="0.2">
      <c r="A815" s="4">
        <v>1907963</v>
      </c>
      <c r="B815" s="35" t="s">
        <v>2133</v>
      </c>
      <c r="C815" s="2" t="s">
        <v>1961</v>
      </c>
      <c r="D815" s="7">
        <f>2+3</f>
        <v>5</v>
      </c>
      <c r="E815" s="7">
        <f>0</f>
        <v>0</v>
      </c>
      <c r="F815" s="17">
        <f>16+9</f>
        <v>25</v>
      </c>
      <c r="G815" s="17">
        <f>15+4</f>
        <v>19</v>
      </c>
      <c r="H815" s="17">
        <f>167+25</f>
        <v>192</v>
      </c>
      <c r="I815" s="16">
        <f>H815/(F815-G815)</f>
        <v>32</v>
      </c>
      <c r="J815" s="17" t="s">
        <v>274</v>
      </c>
      <c r="K815" s="25">
        <f>61+44.3</f>
        <v>105.3</v>
      </c>
      <c r="L815" s="25">
        <f>34+5</f>
        <v>39</v>
      </c>
      <c r="M815" s="25">
        <f>238+129</f>
        <v>367</v>
      </c>
      <c r="N815" s="24">
        <f>M815/L815</f>
        <v>9.4102564102564106</v>
      </c>
      <c r="O815" s="49" t="s">
        <v>2275</v>
      </c>
    </row>
    <row r="816" spans="1:15" x14ac:dyDescent="0.2">
      <c r="A816" s="4">
        <v>676831</v>
      </c>
      <c r="B816" s="35" t="s">
        <v>1304</v>
      </c>
      <c r="C816" s="2" t="s">
        <v>359</v>
      </c>
      <c r="D816" s="7">
        <f>3+4</f>
        <v>7</v>
      </c>
      <c r="E816" s="7">
        <f>0</f>
        <v>0</v>
      </c>
      <c r="F816" s="17">
        <f>7+5</f>
        <v>12</v>
      </c>
      <c r="G816" s="17">
        <f>1+0</f>
        <v>1</v>
      </c>
      <c r="H816" s="17">
        <f>74+7</f>
        <v>81</v>
      </c>
      <c r="I816" s="16">
        <f>H816/(F816-G816)</f>
        <v>7.3636363636363633</v>
      </c>
      <c r="J816" s="17" t="s">
        <v>364</v>
      </c>
      <c r="K816" s="25">
        <f>36.5+71.3+(0.4)</f>
        <v>108.2</v>
      </c>
      <c r="L816" s="25">
        <f>7+16</f>
        <v>23</v>
      </c>
      <c r="M816" s="25">
        <f>118+244</f>
        <v>362</v>
      </c>
      <c r="N816" s="24">
        <f>M816/L816</f>
        <v>15.739130434782609</v>
      </c>
      <c r="O816" s="49" t="s">
        <v>1376</v>
      </c>
    </row>
    <row r="817" spans="1:15" s="54" customFormat="1" x14ac:dyDescent="0.2">
      <c r="A817" s="84">
        <v>696134</v>
      </c>
      <c r="B817" s="85" t="s">
        <v>1556</v>
      </c>
      <c r="C817" s="2" t="s">
        <v>1557</v>
      </c>
      <c r="D817" s="7">
        <f>0</f>
        <v>0</v>
      </c>
      <c r="E817" s="7">
        <f>0</f>
        <v>0</v>
      </c>
      <c r="F817" s="17">
        <f>2</f>
        <v>2</v>
      </c>
      <c r="G817" s="17">
        <f>0</f>
        <v>0</v>
      </c>
      <c r="H817" s="17">
        <f>15</f>
        <v>15</v>
      </c>
      <c r="I817" s="16">
        <f>H817/(F817-G817)</f>
        <v>7.5</v>
      </c>
      <c r="J817" s="17">
        <v>15</v>
      </c>
      <c r="K817" s="25">
        <f>3</f>
        <v>3</v>
      </c>
      <c r="L817" s="25">
        <f>0</f>
        <v>0</v>
      </c>
      <c r="M817" s="25">
        <f>23</f>
        <v>23</v>
      </c>
      <c r="N817" s="24" t="e">
        <f>M817/L817</f>
        <v>#DIV/0!</v>
      </c>
      <c r="O817" s="49" t="s">
        <v>1636</v>
      </c>
    </row>
    <row r="818" spans="1:15" s="54" customFormat="1" x14ac:dyDescent="0.2">
      <c r="A818" s="4">
        <v>1926848</v>
      </c>
      <c r="B818" s="35" t="s">
        <v>2134</v>
      </c>
      <c r="C818" s="2" t="s">
        <v>2135</v>
      </c>
      <c r="D818" s="7">
        <f>0</f>
        <v>0</v>
      </c>
      <c r="E818" s="7"/>
      <c r="F818" s="17">
        <f>8</f>
        <v>8</v>
      </c>
      <c r="G818" s="17">
        <f>8</f>
        <v>8</v>
      </c>
      <c r="H818" s="17">
        <f>21</f>
        <v>21</v>
      </c>
      <c r="I818" s="16" t="e">
        <f>H818/(F818-G818)</f>
        <v>#DIV/0!</v>
      </c>
      <c r="J818" s="17" t="s">
        <v>371</v>
      </c>
      <c r="K818" s="25">
        <f>16.1</f>
        <v>16.100000000000001</v>
      </c>
      <c r="L818" s="25">
        <f>1</f>
        <v>1</v>
      </c>
      <c r="M818" s="25">
        <f>76</f>
        <v>76</v>
      </c>
      <c r="N818" s="24">
        <f>M818/L818</f>
        <v>76</v>
      </c>
      <c r="O818" s="49" t="s">
        <v>1365</v>
      </c>
    </row>
    <row r="819" spans="1:15" s="54" customFormat="1" x14ac:dyDescent="0.2">
      <c r="A819" s="84">
        <v>1155032</v>
      </c>
      <c r="B819" s="35" t="s">
        <v>1905</v>
      </c>
      <c r="C819" s="2" t="s">
        <v>1906</v>
      </c>
      <c r="D819" s="7">
        <f>0</f>
        <v>0</v>
      </c>
      <c r="E819" s="7">
        <f>0</f>
        <v>0</v>
      </c>
      <c r="F819" s="17">
        <f>12+5</f>
        <v>17</v>
      </c>
      <c r="G819" s="17">
        <f>9+2</f>
        <v>11</v>
      </c>
      <c r="H819" s="17">
        <f>125+23</f>
        <v>148</v>
      </c>
      <c r="I819" s="16">
        <f>H819/(F819-G819)</f>
        <v>24.666666666666668</v>
      </c>
      <c r="J819" s="17" t="s">
        <v>371</v>
      </c>
      <c r="K819" s="25">
        <f>40+4</f>
        <v>44</v>
      </c>
      <c r="L819" s="25">
        <f>12+0</f>
        <v>12</v>
      </c>
      <c r="M819" s="25">
        <f>174+10</f>
        <v>184</v>
      </c>
      <c r="N819" s="24">
        <f>M819/L819</f>
        <v>15.333333333333334</v>
      </c>
      <c r="O819" s="49" t="s">
        <v>1617</v>
      </c>
    </row>
    <row r="820" spans="1:15" s="54" customFormat="1" x14ac:dyDescent="0.2">
      <c r="A820" s="4">
        <v>683320</v>
      </c>
      <c r="B820" s="51" t="s">
        <v>1402</v>
      </c>
      <c r="C820" s="2" t="s">
        <v>1442</v>
      </c>
      <c r="D820" s="7">
        <f>6+1+1</f>
        <v>8</v>
      </c>
      <c r="E820" s="7">
        <f>0+0+0</f>
        <v>0</v>
      </c>
      <c r="F820" s="17">
        <f>8+7+1</f>
        <v>16</v>
      </c>
      <c r="G820" s="17">
        <f>3+5+0</f>
        <v>8</v>
      </c>
      <c r="H820" s="17">
        <f>77+93+8</f>
        <v>178</v>
      </c>
      <c r="I820" s="16">
        <f>H820/(F820-G820)</f>
        <v>22.25</v>
      </c>
      <c r="J820" s="17" t="s">
        <v>399</v>
      </c>
      <c r="K820" s="25">
        <f>136+198+24</f>
        <v>358</v>
      </c>
      <c r="L820" s="25">
        <f>22+31+4</f>
        <v>57</v>
      </c>
      <c r="M820" s="25">
        <f>306+398+50</f>
        <v>754</v>
      </c>
      <c r="N820" s="24">
        <f>M820/L820</f>
        <v>13.228070175438596</v>
      </c>
      <c r="O820" s="49" t="s">
        <v>1461</v>
      </c>
    </row>
    <row r="821" spans="1:15" s="54" customFormat="1" x14ac:dyDescent="0.2">
      <c r="A821" s="4">
        <v>1903968</v>
      </c>
      <c r="B821" s="35" t="s">
        <v>2136</v>
      </c>
      <c r="C821" s="2" t="s">
        <v>260</v>
      </c>
      <c r="D821" s="7">
        <f>0</f>
        <v>0</v>
      </c>
      <c r="E821" s="7"/>
      <c r="F821" s="17">
        <f>9</f>
        <v>9</v>
      </c>
      <c r="G821" s="17">
        <f>3</f>
        <v>3</v>
      </c>
      <c r="H821" s="17">
        <f>19</f>
        <v>19</v>
      </c>
      <c r="I821" s="16">
        <f>H821/(F821-G821)</f>
        <v>3.1666666666666665</v>
      </c>
      <c r="J821" s="17">
        <f>7</f>
        <v>7</v>
      </c>
      <c r="K821" s="25"/>
      <c r="L821" s="25"/>
      <c r="M821" s="25"/>
      <c r="N821" s="24" t="e">
        <f>M821/L821</f>
        <v>#DIV/0!</v>
      </c>
      <c r="O821" s="23"/>
    </row>
    <row r="822" spans="1:15" s="54" customFormat="1" x14ac:dyDescent="0.2">
      <c r="A822" s="4"/>
      <c r="B822" s="35" t="s">
        <v>921</v>
      </c>
      <c r="C822" s="2" t="s">
        <v>90</v>
      </c>
      <c r="D822" s="7">
        <f>3+4+9+4+0</f>
        <v>20</v>
      </c>
      <c r="E822" s="7"/>
      <c r="F822" s="17">
        <f>7+4+10+10+1</f>
        <v>32</v>
      </c>
      <c r="G822" s="17">
        <f>3+2+3+0</f>
        <v>8</v>
      </c>
      <c r="H822" s="17">
        <f>10+7+65+49+6</f>
        <v>137</v>
      </c>
      <c r="I822" s="16">
        <f>H822/(F822-G822)</f>
        <v>5.708333333333333</v>
      </c>
      <c r="J822" s="17">
        <v>16</v>
      </c>
      <c r="K822" s="25">
        <f>56+67+7+121+97+7</f>
        <v>355</v>
      </c>
      <c r="L822" s="25">
        <f>15+12+31+16+2</f>
        <v>76</v>
      </c>
      <c r="M822" s="25">
        <f>189+195+9+309+252+18</f>
        <v>972</v>
      </c>
      <c r="N822" s="24">
        <f>M822/L822</f>
        <v>12.789473684210526</v>
      </c>
      <c r="O822" s="23"/>
    </row>
    <row r="823" spans="1:15" s="5" customFormat="1" x14ac:dyDescent="0.2">
      <c r="A823" s="4"/>
      <c r="B823" s="34" t="s">
        <v>922</v>
      </c>
      <c r="C823" s="2" t="s">
        <v>147</v>
      </c>
      <c r="D823" s="7">
        <f>1+2+0</f>
        <v>3</v>
      </c>
      <c r="E823" s="7"/>
      <c r="F823" s="17">
        <f>11+12+1</f>
        <v>24</v>
      </c>
      <c r="G823" s="17">
        <f>2+2+0</f>
        <v>4</v>
      </c>
      <c r="H823" s="17">
        <f>125+94+3</f>
        <v>222</v>
      </c>
      <c r="I823" s="16">
        <f>H823/(F823-G823)</f>
        <v>11.1</v>
      </c>
      <c r="J823" s="17">
        <v>44</v>
      </c>
      <c r="K823" s="25">
        <f>94+89</f>
        <v>183</v>
      </c>
      <c r="L823" s="25">
        <f>16+13</f>
        <v>29</v>
      </c>
      <c r="M823" s="25">
        <f>266+286</f>
        <v>552</v>
      </c>
      <c r="N823" s="24">
        <f>M823/L823</f>
        <v>19.03448275862069</v>
      </c>
      <c r="O823" s="23"/>
    </row>
    <row r="824" spans="1:15" s="6" customFormat="1" x14ac:dyDescent="0.2">
      <c r="A824" s="4">
        <v>1136872</v>
      </c>
      <c r="B824" s="4" t="s">
        <v>2554</v>
      </c>
      <c r="C824" s="2" t="s">
        <v>2555</v>
      </c>
      <c r="D824" s="7">
        <v>0</v>
      </c>
      <c r="E824" s="7">
        <v>0</v>
      </c>
      <c r="F824" s="17">
        <v>3</v>
      </c>
      <c r="G824" s="17">
        <v>0</v>
      </c>
      <c r="H824" s="17">
        <v>55</v>
      </c>
      <c r="I824" s="16">
        <f>H824/(F824-G824)</f>
        <v>18.333333333333332</v>
      </c>
      <c r="J824" s="17">
        <v>45</v>
      </c>
      <c r="K824" s="25">
        <v>1</v>
      </c>
      <c r="L824" s="25">
        <v>0</v>
      </c>
      <c r="M824" s="25">
        <v>14</v>
      </c>
      <c r="N824" s="24" t="e">
        <f>M824/L824</f>
        <v>#DIV/0!</v>
      </c>
      <c r="O824" s="23"/>
    </row>
    <row r="825" spans="1:15" s="5" customFormat="1" x14ac:dyDescent="0.2">
      <c r="A825" s="4"/>
      <c r="B825" s="34" t="s">
        <v>923</v>
      </c>
      <c r="C825" s="2" t="s">
        <v>215</v>
      </c>
      <c r="D825" s="7">
        <f>0+3+3+11</f>
        <v>17</v>
      </c>
      <c r="E825" s="7"/>
      <c r="F825" s="17">
        <f>10+8+9+8</f>
        <v>35</v>
      </c>
      <c r="G825" s="17">
        <f>3+3+1+3</f>
        <v>10</v>
      </c>
      <c r="H825" s="17">
        <f>39+34+116+51</f>
        <v>240</v>
      </c>
      <c r="I825" s="16">
        <f>H825/(F825-G825)</f>
        <v>9.6</v>
      </c>
      <c r="J825" s="17">
        <v>55</v>
      </c>
      <c r="K825" s="25">
        <f>37+52+78+48.4</f>
        <v>215.4</v>
      </c>
      <c r="L825" s="25">
        <f>9+13+19+11</f>
        <v>52</v>
      </c>
      <c r="M825" s="25">
        <f>66+154+217+138</f>
        <v>575</v>
      </c>
      <c r="N825" s="24">
        <f>M825/L825</f>
        <v>11.057692307692308</v>
      </c>
      <c r="O825" s="23"/>
    </row>
    <row r="826" spans="1:15" x14ac:dyDescent="0.2">
      <c r="A826" s="4"/>
      <c r="B826" s="35" t="s">
        <v>924</v>
      </c>
      <c r="C826" s="2" t="s">
        <v>19</v>
      </c>
      <c r="D826" s="7">
        <v>2</v>
      </c>
      <c r="E826" s="7"/>
      <c r="F826" s="17">
        <v>8</v>
      </c>
      <c r="G826" s="17">
        <v>4</v>
      </c>
      <c r="H826" s="17">
        <v>76</v>
      </c>
      <c r="I826" s="16">
        <f>H826/(F826-G826)</f>
        <v>19</v>
      </c>
      <c r="J826" s="17" t="s">
        <v>430</v>
      </c>
      <c r="K826" s="25">
        <v>14</v>
      </c>
      <c r="L826" s="25">
        <v>4</v>
      </c>
      <c r="M826" s="25">
        <v>82</v>
      </c>
      <c r="N826" s="24">
        <f>M826/L826</f>
        <v>20.5</v>
      </c>
      <c r="O826" s="23"/>
    </row>
    <row r="827" spans="1:15" s="54" customFormat="1" x14ac:dyDescent="0.2">
      <c r="A827" s="4"/>
      <c r="B827" s="35" t="s">
        <v>925</v>
      </c>
      <c r="C827" s="2" t="s">
        <v>14</v>
      </c>
      <c r="D827" s="7">
        <v>10</v>
      </c>
      <c r="E827" s="7"/>
      <c r="F827" s="17">
        <v>22</v>
      </c>
      <c r="G827" s="17">
        <v>4</v>
      </c>
      <c r="H827" s="17">
        <v>77</v>
      </c>
      <c r="I827" s="16">
        <f>H827/(F827-G827)</f>
        <v>4.2777777777777777</v>
      </c>
      <c r="J827" s="17">
        <v>13</v>
      </c>
      <c r="K827" s="25">
        <v>2</v>
      </c>
      <c r="L827" s="25">
        <v>1</v>
      </c>
      <c r="M827" s="25">
        <v>4</v>
      </c>
      <c r="N827" s="24">
        <f>M827/L827</f>
        <v>4</v>
      </c>
      <c r="O827" s="23"/>
    </row>
    <row r="828" spans="1:15" s="5" customFormat="1" x14ac:dyDescent="0.2">
      <c r="A828" s="57"/>
      <c r="B828" s="65" t="s">
        <v>2657</v>
      </c>
      <c r="C828" s="58" t="s">
        <v>2658</v>
      </c>
      <c r="D828" s="59">
        <v>1</v>
      </c>
      <c r="E828" s="59"/>
      <c r="F828" s="60">
        <v>12</v>
      </c>
      <c r="G828" s="60">
        <v>2</v>
      </c>
      <c r="H828" s="60">
        <v>53</v>
      </c>
      <c r="I828" s="61">
        <f>H828/(F828-G828)</f>
        <v>5.3</v>
      </c>
      <c r="J828" s="60" t="s">
        <v>417</v>
      </c>
      <c r="K828" s="62">
        <v>4.0999999999999996</v>
      </c>
      <c r="L828" s="62">
        <v>0</v>
      </c>
      <c r="M828" s="62">
        <v>29</v>
      </c>
      <c r="N828" s="63" t="e">
        <f>M828/L828</f>
        <v>#DIV/0!</v>
      </c>
      <c r="O828" s="66" t="s">
        <v>1368</v>
      </c>
    </row>
    <row r="829" spans="1:15" s="6" customFormat="1" x14ac:dyDescent="0.2">
      <c r="A829" s="57">
        <v>2314550</v>
      </c>
      <c r="B829" s="65" t="s">
        <v>2572</v>
      </c>
      <c r="C829" s="58" t="s">
        <v>2573</v>
      </c>
      <c r="D829" s="59">
        <v>0</v>
      </c>
      <c r="E829" s="59">
        <v>0</v>
      </c>
      <c r="F829" s="60">
        <f>1+8</f>
        <v>9</v>
      </c>
      <c r="G829" s="60">
        <v>0</v>
      </c>
      <c r="H829" s="60">
        <f>23+40</f>
        <v>63</v>
      </c>
      <c r="I829" s="61">
        <f>H829/(F829-G829)</f>
        <v>7</v>
      </c>
      <c r="J829" s="60">
        <v>28</v>
      </c>
      <c r="K829" s="62">
        <f>6+9.1</f>
        <v>15.1</v>
      </c>
      <c r="L829" s="62">
        <f>2+4</f>
        <v>6</v>
      </c>
      <c r="M829" s="62">
        <f>12+32</f>
        <v>44</v>
      </c>
      <c r="N829" s="63">
        <f>M829/L829</f>
        <v>7.333333333333333</v>
      </c>
      <c r="O829" s="66" t="s">
        <v>1380</v>
      </c>
    </row>
    <row r="830" spans="1:15" s="5" customFormat="1" x14ac:dyDescent="0.2">
      <c r="A830" s="84">
        <v>1565996</v>
      </c>
      <c r="B830" s="85" t="s">
        <v>1558</v>
      </c>
      <c r="C830" s="2" t="s">
        <v>1559</v>
      </c>
      <c r="D830" s="7">
        <f>1+3+1</f>
        <v>5</v>
      </c>
      <c r="E830" s="7">
        <f>0+0+0</f>
        <v>0</v>
      </c>
      <c r="F830" s="17">
        <f>6+7+10</f>
        <v>23</v>
      </c>
      <c r="G830" s="17">
        <f>0+3+4</f>
        <v>7</v>
      </c>
      <c r="H830" s="17">
        <f>66+49+118</f>
        <v>233</v>
      </c>
      <c r="I830" s="16">
        <f>H830/(F830-G830)</f>
        <v>14.5625</v>
      </c>
      <c r="J830" s="17" t="s">
        <v>430</v>
      </c>
      <c r="K830" s="25">
        <f>15.1+41+57</f>
        <v>113.1</v>
      </c>
      <c r="L830" s="25">
        <f>4+5+16</f>
        <v>25</v>
      </c>
      <c r="M830" s="25">
        <f>76+154+207</f>
        <v>437</v>
      </c>
      <c r="N830" s="24">
        <f>M830/L830</f>
        <v>17.48</v>
      </c>
      <c r="O830" s="49" t="s">
        <v>2030</v>
      </c>
    </row>
    <row r="831" spans="1:15" s="54" customFormat="1" x14ac:dyDescent="0.2">
      <c r="A831" s="4">
        <v>2076042</v>
      </c>
      <c r="B831" s="35" t="s">
        <v>2361</v>
      </c>
      <c r="C831" s="2" t="s">
        <v>2362</v>
      </c>
      <c r="D831" s="7">
        <f>7</f>
        <v>7</v>
      </c>
      <c r="E831" s="7">
        <f>0</f>
        <v>0</v>
      </c>
      <c r="F831" s="17">
        <f>8</f>
        <v>8</v>
      </c>
      <c r="G831" s="17">
        <f>4</f>
        <v>4</v>
      </c>
      <c r="H831" s="17">
        <f>15</f>
        <v>15</v>
      </c>
      <c r="I831" s="16">
        <f>H831/(F831-G831)</f>
        <v>3.75</v>
      </c>
      <c r="J831" s="17" t="s">
        <v>347</v>
      </c>
      <c r="K831" s="25">
        <f>22</f>
        <v>22</v>
      </c>
      <c r="L831" s="25">
        <f>1</f>
        <v>1</v>
      </c>
      <c r="M831" s="25">
        <f>122</f>
        <v>122</v>
      </c>
      <c r="N831" s="24">
        <f>M831/L831</f>
        <v>122</v>
      </c>
      <c r="O831" s="49" t="s">
        <v>2463</v>
      </c>
    </row>
    <row r="832" spans="1:15" s="54" customFormat="1" x14ac:dyDescent="0.2">
      <c r="A832" s="4"/>
      <c r="B832" s="35" t="s">
        <v>926</v>
      </c>
      <c r="C832" s="2" t="s">
        <v>21</v>
      </c>
      <c r="D832" s="7">
        <v>18</v>
      </c>
      <c r="E832" s="7"/>
      <c r="F832" s="17">
        <v>32</v>
      </c>
      <c r="G832" s="17">
        <v>8</v>
      </c>
      <c r="H832" s="17">
        <v>800</v>
      </c>
      <c r="I832" s="16">
        <f>H832/(F832-G832)</f>
        <v>33.333333333333336</v>
      </c>
      <c r="J832" s="17" t="s">
        <v>431</v>
      </c>
      <c r="K832" s="25">
        <v>6</v>
      </c>
      <c r="L832" s="25">
        <v>0</v>
      </c>
      <c r="M832" s="25">
        <v>41</v>
      </c>
      <c r="N832" s="24" t="e">
        <f>M832/L832</f>
        <v>#DIV/0!</v>
      </c>
      <c r="O832" s="23"/>
    </row>
    <row r="833" spans="1:15" s="5" customFormat="1" x14ac:dyDescent="0.2">
      <c r="A833" s="4"/>
      <c r="B833" s="34" t="s">
        <v>927</v>
      </c>
      <c r="C833" s="2" t="s">
        <v>53</v>
      </c>
      <c r="D833" s="7">
        <f>8</f>
        <v>8</v>
      </c>
      <c r="E833" s="7"/>
      <c r="F833" s="17">
        <f>13</f>
        <v>13</v>
      </c>
      <c r="G833" s="17">
        <f>4</f>
        <v>4</v>
      </c>
      <c r="H833" s="17">
        <f>285</f>
        <v>285</v>
      </c>
      <c r="I833" s="16">
        <f>H833/(F833-G833)</f>
        <v>31.666666666666668</v>
      </c>
      <c r="J833" s="17" t="s">
        <v>293</v>
      </c>
      <c r="K833" s="25">
        <f>93</f>
        <v>93</v>
      </c>
      <c r="L833" s="25">
        <f>33</f>
        <v>33</v>
      </c>
      <c r="M833" s="25">
        <f>218</f>
        <v>218</v>
      </c>
      <c r="N833" s="24">
        <f>M833/L833</f>
        <v>6.6060606060606064</v>
      </c>
      <c r="O833" s="23"/>
    </row>
    <row r="834" spans="1:15" s="6" customFormat="1" x14ac:dyDescent="0.2">
      <c r="A834" s="4"/>
      <c r="B834" s="35" t="s">
        <v>928</v>
      </c>
      <c r="C834" s="2" t="s">
        <v>21</v>
      </c>
      <c r="D834" s="7"/>
      <c r="E834" s="7"/>
      <c r="F834" s="17">
        <v>16</v>
      </c>
      <c r="G834" s="17">
        <v>1</v>
      </c>
      <c r="H834" s="17">
        <v>22</v>
      </c>
      <c r="I834" s="16">
        <f>H834/(F834-G834)</f>
        <v>1.4666666666666666</v>
      </c>
      <c r="J834" s="17">
        <v>5</v>
      </c>
      <c r="K834" s="25">
        <v>43</v>
      </c>
      <c r="L834" s="25">
        <v>3</v>
      </c>
      <c r="M834" s="25">
        <v>147</v>
      </c>
      <c r="N834" s="24">
        <f>M834/L834</f>
        <v>49</v>
      </c>
      <c r="O834" s="23"/>
    </row>
    <row r="835" spans="1:15" s="5" customFormat="1" x14ac:dyDescent="0.2">
      <c r="A835" s="84">
        <v>1750473</v>
      </c>
      <c r="B835" s="35" t="s">
        <v>1907</v>
      </c>
      <c r="C835" s="2" t="s">
        <v>1897</v>
      </c>
      <c r="D835" s="7">
        <f>0</f>
        <v>0</v>
      </c>
      <c r="E835" s="7">
        <f>0</f>
        <v>0</v>
      </c>
      <c r="F835" s="17">
        <f>2</f>
        <v>2</v>
      </c>
      <c r="G835" s="17">
        <f>0</f>
        <v>0</v>
      </c>
      <c r="H835" s="17">
        <f>0</f>
        <v>0</v>
      </c>
      <c r="I835" s="16">
        <f>H835/(F835-G835)</f>
        <v>0</v>
      </c>
      <c r="J835" s="17">
        <v>0</v>
      </c>
      <c r="K835" s="25">
        <f>5</f>
        <v>5</v>
      </c>
      <c r="L835" s="25">
        <f>1</f>
        <v>1</v>
      </c>
      <c r="M835" s="25">
        <f>25</f>
        <v>25</v>
      </c>
      <c r="N835" s="24">
        <f>M835/L835</f>
        <v>25</v>
      </c>
      <c r="O835" s="49" t="s">
        <v>1365</v>
      </c>
    </row>
    <row r="836" spans="1:15" s="5" customFormat="1" x14ac:dyDescent="0.2">
      <c r="A836" s="84">
        <v>679220</v>
      </c>
      <c r="B836" s="35" t="s">
        <v>1715</v>
      </c>
      <c r="C836" s="2" t="s">
        <v>1716</v>
      </c>
      <c r="D836" s="7">
        <f>0+0+0</f>
        <v>0</v>
      </c>
      <c r="E836" s="7">
        <f>0+0</f>
        <v>0</v>
      </c>
      <c r="F836" s="17">
        <f>9+12+10</f>
        <v>31</v>
      </c>
      <c r="G836" s="17">
        <f>0+1+0</f>
        <v>1</v>
      </c>
      <c r="H836" s="17">
        <f>93+236+107</f>
        <v>436</v>
      </c>
      <c r="I836" s="16">
        <f>H836/(F836-G836)</f>
        <v>14.533333333333333</v>
      </c>
      <c r="J836" s="17" t="s">
        <v>308</v>
      </c>
      <c r="K836" s="25">
        <f>14+6+5</f>
        <v>25</v>
      </c>
      <c r="L836" s="25">
        <f>1+1+1</f>
        <v>3</v>
      </c>
      <c r="M836" s="25">
        <f>98+40+21</f>
        <v>159</v>
      </c>
      <c r="N836" s="24">
        <f>M836/L836</f>
        <v>53</v>
      </c>
      <c r="O836" s="49" t="s">
        <v>1379</v>
      </c>
    </row>
    <row r="837" spans="1:15" s="5" customFormat="1" x14ac:dyDescent="0.2">
      <c r="A837" s="57">
        <v>962311</v>
      </c>
      <c r="B837" s="65" t="s">
        <v>2363</v>
      </c>
      <c r="C837" s="58" t="s">
        <v>2359</v>
      </c>
      <c r="D837" s="59">
        <f>2+6+1</f>
        <v>9</v>
      </c>
      <c r="E837" s="59">
        <f>0+0</f>
        <v>0</v>
      </c>
      <c r="F837" s="60">
        <f>13+18+1</f>
        <v>32</v>
      </c>
      <c r="G837" s="60">
        <f>6+6</f>
        <v>12</v>
      </c>
      <c r="H837" s="60">
        <f>116+132</f>
        <v>248</v>
      </c>
      <c r="I837" s="61">
        <f>H837/(F837-G837)</f>
        <v>12.4</v>
      </c>
      <c r="J837" s="60">
        <v>39</v>
      </c>
      <c r="K837" s="62">
        <f>34+54.2+8</f>
        <v>96.2</v>
      </c>
      <c r="L837" s="62">
        <f>1+11+1</f>
        <v>13</v>
      </c>
      <c r="M837" s="62">
        <f>108+220+17</f>
        <v>345</v>
      </c>
      <c r="N837" s="63">
        <f>M837/L837</f>
        <v>26.53846153846154</v>
      </c>
      <c r="O837" s="66" t="s">
        <v>1353</v>
      </c>
    </row>
    <row r="838" spans="1:15" x14ac:dyDescent="0.2">
      <c r="A838" s="4">
        <v>1047133</v>
      </c>
      <c r="B838" s="34" t="s">
        <v>1305</v>
      </c>
      <c r="C838" s="2"/>
      <c r="D838" s="7">
        <f>3</f>
        <v>3</v>
      </c>
      <c r="E838" s="7">
        <f>0</f>
        <v>0</v>
      </c>
      <c r="F838" s="17">
        <f>9</f>
        <v>9</v>
      </c>
      <c r="G838" s="17">
        <f>2</f>
        <v>2</v>
      </c>
      <c r="H838" s="17">
        <f>52</f>
        <v>52</v>
      </c>
      <c r="I838" s="16">
        <f>H838/(F838-G838)</f>
        <v>7.4285714285714288</v>
      </c>
      <c r="J838" s="17">
        <v>14</v>
      </c>
      <c r="K838" s="25">
        <f>10.1</f>
        <v>10.1</v>
      </c>
      <c r="L838" s="25">
        <f>4</f>
        <v>4</v>
      </c>
      <c r="M838" s="25">
        <f>52</f>
        <v>52</v>
      </c>
      <c r="N838" s="24">
        <f>M838/L838</f>
        <v>13</v>
      </c>
      <c r="O838" s="49" t="s">
        <v>1355</v>
      </c>
    </row>
    <row r="839" spans="1:15" s="54" customFormat="1" x14ac:dyDescent="0.2">
      <c r="A839" s="4"/>
      <c r="B839" s="35" t="s">
        <v>929</v>
      </c>
      <c r="C839" s="2" t="s">
        <v>193</v>
      </c>
      <c r="D839" s="8">
        <v>64</v>
      </c>
      <c r="E839" s="7">
        <v>7</v>
      </c>
      <c r="F839" s="17">
        <v>47</v>
      </c>
      <c r="G839" s="17">
        <v>15</v>
      </c>
      <c r="H839" s="17">
        <v>285</v>
      </c>
      <c r="I839" s="16">
        <f>H839/(F839-G839)</f>
        <v>8.90625</v>
      </c>
      <c r="J839" s="17" t="s">
        <v>432</v>
      </c>
      <c r="K839" s="25">
        <v>5</v>
      </c>
      <c r="L839" s="25">
        <v>1</v>
      </c>
      <c r="M839" s="25">
        <v>23</v>
      </c>
      <c r="N839" s="24">
        <f>M839/L839</f>
        <v>23</v>
      </c>
      <c r="O839" s="23"/>
    </row>
    <row r="840" spans="1:15" s="6" customFormat="1" x14ac:dyDescent="0.2">
      <c r="A840" s="64"/>
      <c r="B840" s="65" t="s">
        <v>2694</v>
      </c>
      <c r="C840" s="58" t="s">
        <v>2192</v>
      </c>
      <c r="D840" s="59">
        <v>0</v>
      </c>
      <c r="E840" s="59"/>
      <c r="F840" s="60">
        <v>15</v>
      </c>
      <c r="G840" s="60">
        <v>0</v>
      </c>
      <c r="H840" s="60">
        <v>101</v>
      </c>
      <c r="I840" s="61">
        <f>H840/(F840-G840)</f>
        <v>6.7333333333333334</v>
      </c>
      <c r="J840" s="60">
        <v>37</v>
      </c>
      <c r="K840" s="62">
        <v>1</v>
      </c>
      <c r="L840" s="62">
        <v>0</v>
      </c>
      <c r="M840" s="62">
        <v>14</v>
      </c>
      <c r="N840" s="63" t="e">
        <f>M840/L840</f>
        <v>#DIV/0!</v>
      </c>
      <c r="O840" s="81"/>
    </row>
    <row r="841" spans="1:15" s="54" customFormat="1" x14ac:dyDescent="0.2">
      <c r="A841" s="4">
        <v>1120555</v>
      </c>
      <c r="B841" s="35" t="s">
        <v>2476</v>
      </c>
      <c r="C841" s="2" t="s">
        <v>2477</v>
      </c>
      <c r="D841" s="8">
        <v>1</v>
      </c>
      <c r="E841" s="7">
        <v>0</v>
      </c>
      <c r="F841" s="17">
        <v>3</v>
      </c>
      <c r="G841" s="17">
        <v>0</v>
      </c>
      <c r="H841" s="17">
        <v>2</v>
      </c>
      <c r="I841" s="16">
        <f>H841/(F841-G841)</f>
        <v>0.66666666666666663</v>
      </c>
      <c r="J841" s="17">
        <v>2</v>
      </c>
      <c r="K841" s="25">
        <v>0</v>
      </c>
      <c r="L841" s="25">
        <v>0</v>
      </c>
      <c r="M841" s="25">
        <v>0</v>
      </c>
      <c r="N841" s="24" t="e">
        <f>M841/L841</f>
        <v>#DIV/0!</v>
      </c>
      <c r="O841" s="23"/>
    </row>
    <row r="842" spans="1:15" s="5" customFormat="1" x14ac:dyDescent="0.2">
      <c r="A842" s="4">
        <v>1293374</v>
      </c>
      <c r="B842" s="35" t="s">
        <v>2569</v>
      </c>
      <c r="C842" s="2" t="s">
        <v>133</v>
      </c>
      <c r="D842" s="8">
        <v>1</v>
      </c>
      <c r="E842" s="7">
        <v>0</v>
      </c>
      <c r="F842" s="17">
        <v>5</v>
      </c>
      <c r="G842" s="17">
        <v>2</v>
      </c>
      <c r="H842" s="17">
        <v>39</v>
      </c>
      <c r="I842" s="16">
        <f>H842/(F842-G842)</f>
        <v>13</v>
      </c>
      <c r="J842" s="17" t="s">
        <v>428</v>
      </c>
      <c r="K842" s="25">
        <v>26</v>
      </c>
      <c r="L842" s="25">
        <v>10</v>
      </c>
      <c r="M842" s="25">
        <v>98</v>
      </c>
      <c r="N842" s="24">
        <f>M842/L842</f>
        <v>9.8000000000000007</v>
      </c>
      <c r="O842" s="49" t="s">
        <v>1380</v>
      </c>
    </row>
    <row r="843" spans="1:15" s="54" customFormat="1" x14ac:dyDescent="0.2">
      <c r="A843" s="84">
        <v>1839494</v>
      </c>
      <c r="B843" s="35" t="s">
        <v>1908</v>
      </c>
      <c r="C843" s="2" t="s">
        <v>1909</v>
      </c>
      <c r="D843" s="7">
        <f>0+2</f>
        <v>2</v>
      </c>
      <c r="E843" s="7">
        <f>0</f>
        <v>0</v>
      </c>
      <c r="F843" s="17">
        <f>9+11</f>
        <v>20</v>
      </c>
      <c r="G843" s="17">
        <f>8+1</f>
        <v>9</v>
      </c>
      <c r="H843" s="17">
        <f>69+85</f>
        <v>154</v>
      </c>
      <c r="I843" s="16">
        <f>H843/(F843-G843)</f>
        <v>14</v>
      </c>
      <c r="J843" s="17">
        <v>24</v>
      </c>
      <c r="K843" s="25">
        <f>24+12</f>
        <v>36</v>
      </c>
      <c r="L843" s="25">
        <f>6+2</f>
        <v>8</v>
      </c>
      <c r="M843" s="25">
        <f>82+36</f>
        <v>118</v>
      </c>
      <c r="N843" s="24">
        <f>M843/L843</f>
        <v>14.75</v>
      </c>
      <c r="O843" s="49" t="s">
        <v>1631</v>
      </c>
    </row>
    <row r="844" spans="1:15" s="54" customFormat="1" x14ac:dyDescent="0.2">
      <c r="A844" s="84">
        <v>1781873</v>
      </c>
      <c r="B844" s="35" t="s">
        <v>1910</v>
      </c>
      <c r="C844" s="2" t="s">
        <v>1911</v>
      </c>
      <c r="D844" s="7">
        <f>0+0</f>
        <v>0</v>
      </c>
      <c r="E844" s="7">
        <f>0</f>
        <v>0</v>
      </c>
      <c r="F844" s="17">
        <f>10+10</f>
        <v>20</v>
      </c>
      <c r="G844" s="17">
        <f>8+2</f>
        <v>10</v>
      </c>
      <c r="H844" s="17">
        <f>187+56</f>
        <v>243</v>
      </c>
      <c r="I844" s="16">
        <f>H844/(F844-G844)</f>
        <v>24.3</v>
      </c>
      <c r="J844" s="17" t="s">
        <v>379</v>
      </c>
      <c r="K844" s="25">
        <f>30+51</f>
        <v>81</v>
      </c>
      <c r="L844" s="25">
        <f>22+14</f>
        <v>36</v>
      </c>
      <c r="M844" s="25">
        <f>95+123</f>
        <v>218</v>
      </c>
      <c r="N844" s="24">
        <f>M844/L844</f>
        <v>6.0555555555555554</v>
      </c>
      <c r="O844" s="49" t="s">
        <v>1621</v>
      </c>
    </row>
    <row r="845" spans="1:15" s="54" customFormat="1" x14ac:dyDescent="0.2">
      <c r="A845" s="4">
        <v>1253045</v>
      </c>
      <c r="B845" s="35" t="s">
        <v>2137</v>
      </c>
      <c r="C845" s="2" t="s">
        <v>1918</v>
      </c>
      <c r="D845" s="7">
        <f>0+1+1</f>
        <v>2</v>
      </c>
      <c r="E845" s="7">
        <f>0+0</f>
        <v>0</v>
      </c>
      <c r="F845" s="17">
        <f>7+8+5</f>
        <v>20</v>
      </c>
      <c r="G845" s="17">
        <f>1+0+1</f>
        <v>2</v>
      </c>
      <c r="H845" s="17">
        <f>123+153+16</f>
        <v>292</v>
      </c>
      <c r="I845" s="16">
        <f>H845/(F845-G845)</f>
        <v>16.222222222222221</v>
      </c>
      <c r="J845" s="17">
        <v>57</v>
      </c>
      <c r="K845" s="25">
        <f>18+32+1</f>
        <v>51</v>
      </c>
      <c r="L845" s="25">
        <f>8+12+0</f>
        <v>20</v>
      </c>
      <c r="M845" s="25">
        <f>59+109+12</f>
        <v>180</v>
      </c>
      <c r="N845" s="24">
        <f>M845/L845</f>
        <v>9</v>
      </c>
      <c r="O845" s="49" t="s">
        <v>2261</v>
      </c>
    </row>
    <row r="846" spans="1:15" s="54" customFormat="1" x14ac:dyDescent="0.2">
      <c r="A846" s="4"/>
      <c r="B846" s="35" t="s">
        <v>930</v>
      </c>
      <c r="C846" s="2" t="s">
        <v>20</v>
      </c>
      <c r="D846" s="7"/>
      <c r="E846" s="7"/>
      <c r="F846" s="17">
        <v>19</v>
      </c>
      <c r="G846" s="17">
        <v>5</v>
      </c>
      <c r="H846" s="17">
        <v>5</v>
      </c>
      <c r="I846" s="16">
        <f>H846/(F846-G846)</f>
        <v>0.35714285714285715</v>
      </c>
      <c r="J846" s="17">
        <v>3</v>
      </c>
      <c r="K846" s="25">
        <v>21</v>
      </c>
      <c r="L846" s="25"/>
      <c r="M846" s="25">
        <v>90</v>
      </c>
      <c r="N846" s="24" t="e">
        <f>M846/L846</f>
        <v>#DIV/0!</v>
      </c>
      <c r="O846" s="23"/>
    </row>
    <row r="847" spans="1:15" s="5" customFormat="1" x14ac:dyDescent="0.2">
      <c r="A847" s="4">
        <v>682267</v>
      </c>
      <c r="B847" s="35" t="s">
        <v>931</v>
      </c>
      <c r="C847" s="2" t="s">
        <v>261</v>
      </c>
      <c r="D847" s="8">
        <f>73+9+5</f>
        <v>87</v>
      </c>
      <c r="E847" s="7">
        <f>1+1</f>
        <v>2</v>
      </c>
      <c r="F847" s="17">
        <f>11+7+1+2+10+8+12+1+1+12+9+7+13+13+12+10+14+14</f>
        <v>157</v>
      </c>
      <c r="G847" s="17">
        <f>2+2+1+2+2+2+0+0+0+0+3+2+1+0+1</f>
        <v>18</v>
      </c>
      <c r="H847" s="17">
        <f>112+14+1+9+107+48+217+10+4+135+114+71+216+358+216+268+173+99</f>
        <v>2172</v>
      </c>
      <c r="I847" s="16">
        <f>H847/(F847-G847)</f>
        <v>15.62589928057554</v>
      </c>
      <c r="J847" s="17">
        <v>144</v>
      </c>
      <c r="K847" s="25">
        <f>45+30+3+11+1+4+56+82+45.3+24.7+52+66.3+84.3+(0.4)</f>
        <v>505</v>
      </c>
      <c r="L847" s="25">
        <f>3+6+1+1+1+12+14+7+3+16+10+17</f>
        <v>91</v>
      </c>
      <c r="M847" s="25">
        <f>146+29+17+36+11+24+220+224+185+105+185+344+367</f>
        <v>1893</v>
      </c>
      <c r="N847" s="24">
        <f>M847/L847</f>
        <v>20.802197802197803</v>
      </c>
      <c r="O847" s="49" t="s">
        <v>1462</v>
      </c>
    </row>
    <row r="848" spans="1:15" s="5" customFormat="1" x14ac:dyDescent="0.2">
      <c r="A848" s="4"/>
      <c r="B848" s="35" t="s">
        <v>932</v>
      </c>
      <c r="C848" s="2" t="s">
        <v>79</v>
      </c>
      <c r="D848" s="7">
        <f>7+1+3+1</f>
        <v>12</v>
      </c>
      <c r="E848" s="7"/>
      <c r="F848" s="17">
        <f>40+2+8+1+10</f>
        <v>61</v>
      </c>
      <c r="G848" s="17">
        <f>3+1+1</f>
        <v>5</v>
      </c>
      <c r="H848" s="17">
        <f>881+22+184+9+409</f>
        <v>1505</v>
      </c>
      <c r="I848" s="16">
        <f>H848/(F848-G848)</f>
        <v>26.875</v>
      </c>
      <c r="J848" s="17">
        <v>161</v>
      </c>
      <c r="K848" s="25">
        <f>153+20</f>
        <v>173</v>
      </c>
      <c r="L848" s="25">
        <f>22+8</f>
        <v>30</v>
      </c>
      <c r="M848" s="25">
        <f>658+131</f>
        <v>789</v>
      </c>
      <c r="N848" s="24">
        <f>M848/L848</f>
        <v>26.3</v>
      </c>
      <c r="O848" s="23"/>
    </row>
    <row r="849" spans="1:15" s="6" customFormat="1" x14ac:dyDescent="0.2">
      <c r="A849" s="4">
        <v>681770</v>
      </c>
      <c r="B849" s="34" t="s">
        <v>934</v>
      </c>
      <c r="C849" s="2" t="s">
        <v>287</v>
      </c>
      <c r="D849" s="7">
        <f>3+2+2+8+6+8+3+5+7</f>
        <v>44</v>
      </c>
      <c r="E849" s="7">
        <f>0+0</f>
        <v>0</v>
      </c>
      <c r="F849" s="17">
        <f>9+10+8+9+21+18+4+12+11</f>
        <v>102</v>
      </c>
      <c r="G849" s="17">
        <f>2+1+1+2+5+1+0+2+2</f>
        <v>16</v>
      </c>
      <c r="H849" s="17">
        <f>66+77+73+207+306+63+4+59+77</f>
        <v>932</v>
      </c>
      <c r="I849" s="16">
        <f>H849/(F849-G849)</f>
        <v>10.837209302325581</v>
      </c>
      <c r="J849" s="17" t="s">
        <v>365</v>
      </c>
      <c r="K849" s="25">
        <f>66+97+78+76+121+87.4+91+103.2+(0.4)+18.5</f>
        <v>738.5</v>
      </c>
      <c r="L849" s="25">
        <f>9+25+24+24+25+19+23+16+3</f>
        <v>168</v>
      </c>
      <c r="M849" s="25">
        <f>124+160+143+131+306+370+282+424+116</f>
        <v>2056</v>
      </c>
      <c r="N849" s="24">
        <f>M849/L849</f>
        <v>12.238095238095237</v>
      </c>
      <c r="O849" s="49" t="s">
        <v>1377</v>
      </c>
    </row>
    <row r="850" spans="1:15" s="54" customFormat="1" x14ac:dyDescent="0.2">
      <c r="A850" s="4"/>
      <c r="B850" s="35" t="s">
        <v>933</v>
      </c>
      <c r="C850" s="2" t="s">
        <v>15</v>
      </c>
      <c r="D850" s="7">
        <v>4</v>
      </c>
      <c r="E850" s="7"/>
      <c r="F850" s="17">
        <v>13</v>
      </c>
      <c r="G850" s="17">
        <v>1</v>
      </c>
      <c r="H850" s="17">
        <v>284</v>
      </c>
      <c r="I850" s="16">
        <f>H850/(F850-G850)</f>
        <v>23.666666666666668</v>
      </c>
      <c r="J850" s="17" t="s">
        <v>433</v>
      </c>
      <c r="K850" s="25">
        <v>5</v>
      </c>
      <c r="L850" s="25">
        <v>1</v>
      </c>
      <c r="M850" s="25">
        <v>26</v>
      </c>
      <c r="N850" s="24">
        <f>M850/L850</f>
        <v>26</v>
      </c>
      <c r="O850" s="23"/>
    </row>
    <row r="851" spans="1:15" s="54" customFormat="1" x14ac:dyDescent="0.2">
      <c r="A851" s="4">
        <v>692151</v>
      </c>
      <c r="B851" s="51" t="s">
        <v>1404</v>
      </c>
      <c r="C851" s="2" t="s">
        <v>1443</v>
      </c>
      <c r="D851" s="7">
        <f>0</f>
        <v>0</v>
      </c>
      <c r="E851" s="7">
        <f>0</f>
        <v>0</v>
      </c>
      <c r="F851" s="17">
        <f>8</f>
        <v>8</v>
      </c>
      <c r="G851" s="17">
        <f>2</f>
        <v>2</v>
      </c>
      <c r="H851" s="17">
        <f>13</f>
        <v>13</v>
      </c>
      <c r="I851" s="16">
        <f>H851/(F851-G851)</f>
        <v>2.1666666666666665</v>
      </c>
      <c r="J851" s="17" t="s">
        <v>289</v>
      </c>
      <c r="K851" s="25">
        <f>3.1</f>
        <v>3.1</v>
      </c>
      <c r="L851" s="25">
        <f>1</f>
        <v>1</v>
      </c>
      <c r="M851" s="25">
        <f>30</f>
        <v>30</v>
      </c>
      <c r="N851" s="24">
        <f>M851/L851</f>
        <v>30</v>
      </c>
      <c r="O851" s="49" t="s">
        <v>1475</v>
      </c>
    </row>
    <row r="852" spans="1:15" s="5" customFormat="1" x14ac:dyDescent="0.2">
      <c r="A852" s="4">
        <v>692018</v>
      </c>
      <c r="B852" s="34" t="s">
        <v>936</v>
      </c>
      <c r="C852" s="2" t="s">
        <v>301</v>
      </c>
      <c r="D852" s="8">
        <f>22+1</f>
        <v>23</v>
      </c>
      <c r="E852" s="7">
        <v>2</v>
      </c>
      <c r="F852" s="17">
        <f>14+16+8+3</f>
        <v>41</v>
      </c>
      <c r="G852" s="17">
        <f>1+0+0+0</f>
        <v>1</v>
      </c>
      <c r="H852" s="17">
        <f>96+274+37+15</f>
        <v>422</v>
      </c>
      <c r="I852" s="16">
        <f>H852/(F852-G852)</f>
        <v>10.55</v>
      </c>
      <c r="J852" s="17">
        <v>90</v>
      </c>
      <c r="K852" s="25">
        <f>28+17.5+6</f>
        <v>51.5</v>
      </c>
      <c r="L852" s="25">
        <f>5+3+1</f>
        <v>9</v>
      </c>
      <c r="M852" s="25">
        <f>145+109+29</f>
        <v>283</v>
      </c>
      <c r="N852" s="24">
        <f>M852/L852</f>
        <v>31.444444444444443</v>
      </c>
      <c r="O852" s="23"/>
    </row>
    <row r="853" spans="1:15" s="54" customFormat="1" x14ac:dyDescent="0.2">
      <c r="A853" s="4"/>
      <c r="B853" s="34" t="s">
        <v>935</v>
      </c>
      <c r="C853" s="2" t="s">
        <v>248</v>
      </c>
      <c r="D853" s="7">
        <f>0</f>
        <v>0</v>
      </c>
      <c r="E853" s="7"/>
      <c r="F853" s="17">
        <f>1</f>
        <v>1</v>
      </c>
      <c r="G853" s="17">
        <f>0</f>
        <v>0</v>
      </c>
      <c r="H853" s="17">
        <f>0</f>
        <v>0</v>
      </c>
      <c r="I853" s="16">
        <f>H853/(F853-G853)</f>
        <v>0</v>
      </c>
      <c r="J853" s="17">
        <v>0</v>
      </c>
      <c r="K853" s="25">
        <f>2</f>
        <v>2</v>
      </c>
      <c r="L853" s="25">
        <f>0</f>
        <v>0</v>
      </c>
      <c r="M853" s="25">
        <f>9</f>
        <v>9</v>
      </c>
      <c r="N853" s="24" t="e">
        <f>M853/L853</f>
        <v>#DIV/0!</v>
      </c>
      <c r="O853" s="23"/>
    </row>
    <row r="854" spans="1:15" s="5" customFormat="1" x14ac:dyDescent="0.2">
      <c r="A854" s="4"/>
      <c r="B854" s="35" t="s">
        <v>937</v>
      </c>
      <c r="C854" s="2" t="s">
        <v>11</v>
      </c>
      <c r="D854" s="7">
        <v>4</v>
      </c>
      <c r="E854" s="7"/>
      <c r="F854" s="17">
        <v>22</v>
      </c>
      <c r="G854" s="17">
        <v>4</v>
      </c>
      <c r="H854" s="17">
        <v>435</v>
      </c>
      <c r="I854" s="16">
        <f>H854/(F854-G854)</f>
        <v>24.166666666666668</v>
      </c>
      <c r="J854" s="17" t="s">
        <v>434</v>
      </c>
      <c r="K854" s="25">
        <v>101</v>
      </c>
      <c r="L854" s="25">
        <v>16</v>
      </c>
      <c r="M854" s="25">
        <v>308</v>
      </c>
      <c r="N854" s="24">
        <f>M854/L854</f>
        <v>19.25</v>
      </c>
      <c r="O854" s="23"/>
    </row>
    <row r="855" spans="1:15" s="5" customFormat="1" x14ac:dyDescent="0.2">
      <c r="A855" s="4"/>
      <c r="B855" s="35" t="s">
        <v>938</v>
      </c>
      <c r="C855" s="2" t="s">
        <v>21</v>
      </c>
      <c r="D855" s="7">
        <v>1</v>
      </c>
      <c r="E855" s="7"/>
      <c r="F855" s="17">
        <v>11</v>
      </c>
      <c r="G855" s="17">
        <v>0</v>
      </c>
      <c r="H855" s="17">
        <v>115</v>
      </c>
      <c r="I855" s="16">
        <f>H855/(F855-G855)</f>
        <v>10.454545454545455</v>
      </c>
      <c r="J855" s="17">
        <v>32</v>
      </c>
      <c r="K855" s="25">
        <v>11</v>
      </c>
      <c r="L855" s="25">
        <v>1</v>
      </c>
      <c r="M855" s="25">
        <v>60</v>
      </c>
      <c r="N855" s="24">
        <f>M855/L855</f>
        <v>60</v>
      </c>
      <c r="O855" s="23"/>
    </row>
    <row r="856" spans="1:15" s="54" customFormat="1" x14ac:dyDescent="0.2">
      <c r="A856" s="4"/>
      <c r="B856" s="35" t="s">
        <v>939</v>
      </c>
      <c r="C856" s="2" t="s">
        <v>19</v>
      </c>
      <c r="D856" s="7"/>
      <c r="E856" s="7"/>
      <c r="F856" s="17">
        <v>11</v>
      </c>
      <c r="G856" s="17">
        <v>4</v>
      </c>
      <c r="H856" s="17">
        <v>6</v>
      </c>
      <c r="I856" s="16">
        <f>H856/(F856-G856)</f>
        <v>0.8571428571428571</v>
      </c>
      <c r="J856" s="17">
        <v>4</v>
      </c>
      <c r="K856" s="25"/>
      <c r="L856" s="25"/>
      <c r="M856" s="25"/>
      <c r="N856" s="24" t="e">
        <f>M856/L856</f>
        <v>#DIV/0!</v>
      </c>
      <c r="O856" s="23"/>
    </row>
    <row r="857" spans="1:15" s="5" customFormat="1" x14ac:dyDescent="0.2">
      <c r="A857" s="4">
        <v>2167291</v>
      </c>
      <c r="B857" s="35" t="s">
        <v>2364</v>
      </c>
      <c r="C857" s="2" t="s">
        <v>2365</v>
      </c>
      <c r="D857" s="7">
        <f>0</f>
        <v>0</v>
      </c>
      <c r="E857" s="7">
        <f>0</f>
        <v>0</v>
      </c>
      <c r="F857" s="17">
        <f>2</f>
        <v>2</v>
      </c>
      <c r="G857" s="17">
        <f>1</f>
        <v>1</v>
      </c>
      <c r="H857" s="17">
        <f>3</f>
        <v>3</v>
      </c>
      <c r="I857" s="16">
        <f>H857/(F857-G857)</f>
        <v>3</v>
      </c>
      <c r="J857" s="17" t="s">
        <v>323</v>
      </c>
      <c r="K857" s="25">
        <f>7</f>
        <v>7</v>
      </c>
      <c r="L857" s="25">
        <f>1</f>
        <v>1</v>
      </c>
      <c r="M857" s="25">
        <f>33</f>
        <v>33</v>
      </c>
      <c r="N857" s="24">
        <f>M857/L857</f>
        <v>33</v>
      </c>
      <c r="O857" s="49" t="s">
        <v>1639</v>
      </c>
    </row>
    <row r="858" spans="1:15" s="54" customFormat="1" x14ac:dyDescent="0.2">
      <c r="A858" s="4"/>
      <c r="B858" s="35" t="s">
        <v>940</v>
      </c>
      <c r="C858" s="2" t="s">
        <v>95</v>
      </c>
      <c r="D858" s="7">
        <f>4+5+3+1+3+3+2+3</f>
        <v>24</v>
      </c>
      <c r="E858" s="7"/>
      <c r="F858" s="17">
        <f>8+5+11+8+2+15+7+1+8</f>
        <v>65</v>
      </c>
      <c r="G858" s="17">
        <f>3+2+1+2+2+5+1+1</f>
        <v>17</v>
      </c>
      <c r="H858" s="17">
        <f>52+39+76+69+81+97+47+3+38</f>
        <v>502</v>
      </c>
      <c r="I858" s="16">
        <f>H858/(F858-G858)</f>
        <v>10.458333333333334</v>
      </c>
      <c r="J858" s="17">
        <v>73</v>
      </c>
      <c r="K858" s="25">
        <f>97+68+108+58+19+6+109+96+16+100</f>
        <v>677</v>
      </c>
      <c r="L858" s="25">
        <f>18+18+19+20+3+23+22+19+2+31</f>
        <v>175</v>
      </c>
      <c r="M858" s="25">
        <f>211+169+234+164+69+170+31+393+293+65+270</f>
        <v>2069</v>
      </c>
      <c r="N858" s="24">
        <f>M858/L858</f>
        <v>11.822857142857142</v>
      </c>
      <c r="O858" s="23"/>
    </row>
    <row r="859" spans="1:15" s="5" customFormat="1" x14ac:dyDescent="0.2">
      <c r="A859" s="84">
        <v>776179</v>
      </c>
      <c r="B859" s="35" t="s">
        <v>1717</v>
      </c>
      <c r="C859" s="2" t="s">
        <v>93</v>
      </c>
      <c r="D859" s="7">
        <f>3</f>
        <v>3</v>
      </c>
      <c r="E859" s="7">
        <f>0</f>
        <v>0</v>
      </c>
      <c r="F859" s="17">
        <f>5</f>
        <v>5</v>
      </c>
      <c r="G859" s="17">
        <f>3</f>
        <v>3</v>
      </c>
      <c r="H859" s="17">
        <f>47</f>
        <v>47</v>
      </c>
      <c r="I859" s="16">
        <f>H859/(F859-G859)</f>
        <v>23.5</v>
      </c>
      <c r="J859" s="17" t="s">
        <v>1611</v>
      </c>
      <c r="K859" s="25"/>
      <c r="L859" s="25"/>
      <c r="M859" s="25"/>
      <c r="N859" s="24" t="e">
        <f>M859/L859</f>
        <v>#DIV/0!</v>
      </c>
      <c r="O859" s="23"/>
    </row>
    <row r="860" spans="1:15" s="5" customFormat="1" x14ac:dyDescent="0.2">
      <c r="A860" s="84">
        <v>668611</v>
      </c>
      <c r="B860" s="35" t="s">
        <v>1718</v>
      </c>
      <c r="C860" s="2" t="s">
        <v>1719</v>
      </c>
      <c r="D860" s="7">
        <f>3</f>
        <v>3</v>
      </c>
      <c r="E860" s="7">
        <f>0</f>
        <v>0</v>
      </c>
      <c r="F860" s="17">
        <f>3</f>
        <v>3</v>
      </c>
      <c r="G860" s="17">
        <f>0</f>
        <v>0</v>
      </c>
      <c r="H860" s="17">
        <f>80</f>
        <v>80</v>
      </c>
      <c r="I860" s="16">
        <f>H860/(F860-G860)</f>
        <v>26.666666666666668</v>
      </c>
      <c r="J860" s="17">
        <v>55</v>
      </c>
      <c r="K860" s="25">
        <f>2</f>
        <v>2</v>
      </c>
      <c r="L860" s="25">
        <f>0</f>
        <v>0</v>
      </c>
      <c r="M860" s="25">
        <f>3</f>
        <v>3</v>
      </c>
      <c r="N860" s="24" t="e">
        <f>M860/L860</f>
        <v>#DIV/0!</v>
      </c>
      <c r="O860" s="49" t="s">
        <v>1382</v>
      </c>
    </row>
    <row r="861" spans="1:15" s="5" customFormat="1" x14ac:dyDescent="0.2">
      <c r="A861" s="84">
        <v>1641273</v>
      </c>
      <c r="B861" s="35" t="s">
        <v>1720</v>
      </c>
      <c r="C861" s="2" t="s">
        <v>63</v>
      </c>
      <c r="D861" s="7">
        <f>3+3</f>
        <v>6</v>
      </c>
      <c r="E861" s="7">
        <f>0+0</f>
        <v>0</v>
      </c>
      <c r="F861" s="17">
        <f>8+7</f>
        <v>15</v>
      </c>
      <c r="G861" s="17">
        <f>1+1</f>
        <v>2</v>
      </c>
      <c r="H861" s="17">
        <f>8+17</f>
        <v>25</v>
      </c>
      <c r="I861" s="16">
        <f>H861/(F861-G861)</f>
        <v>1.9230769230769231</v>
      </c>
      <c r="J861" s="17">
        <v>9</v>
      </c>
      <c r="K861" s="25">
        <f>17+10</f>
        <v>27</v>
      </c>
      <c r="L861" s="25">
        <f>2+2</f>
        <v>4</v>
      </c>
      <c r="M861" s="25">
        <f>63+17</f>
        <v>80</v>
      </c>
      <c r="N861" s="24">
        <f>M861/L861</f>
        <v>20</v>
      </c>
      <c r="O861" s="49" t="s">
        <v>1645</v>
      </c>
    </row>
    <row r="862" spans="1:15" x14ac:dyDescent="0.2">
      <c r="A862" s="4"/>
      <c r="B862" s="35" t="s">
        <v>941</v>
      </c>
      <c r="C862" s="2" t="s">
        <v>21</v>
      </c>
      <c r="D862" s="7">
        <v>3</v>
      </c>
      <c r="E862" s="7"/>
      <c r="F862" s="17">
        <v>22</v>
      </c>
      <c r="G862" s="17">
        <v>1</v>
      </c>
      <c r="H862" s="17">
        <v>359</v>
      </c>
      <c r="I862" s="16">
        <f>H862/(F862-G862)</f>
        <v>17.095238095238095</v>
      </c>
      <c r="J862" s="17">
        <v>77</v>
      </c>
      <c r="K862" s="25">
        <v>143</v>
      </c>
      <c r="L862" s="25">
        <v>27</v>
      </c>
      <c r="M862" s="25">
        <v>513</v>
      </c>
      <c r="N862" s="24">
        <f>M862/L862</f>
        <v>19</v>
      </c>
      <c r="O862" s="23"/>
    </row>
    <row r="863" spans="1:15" s="54" customFormat="1" x14ac:dyDescent="0.2">
      <c r="A863" s="4">
        <v>1048269</v>
      </c>
      <c r="B863" s="34" t="s">
        <v>942</v>
      </c>
      <c r="C863" s="2" t="s">
        <v>55</v>
      </c>
      <c r="D863" s="7">
        <f>3+1+4+0</f>
        <v>8</v>
      </c>
      <c r="E863" s="7">
        <f>0</f>
        <v>0</v>
      </c>
      <c r="F863" s="17">
        <f>14+9+10+5</f>
        <v>38</v>
      </c>
      <c r="G863" s="17">
        <f>1+1+2+0</f>
        <v>4</v>
      </c>
      <c r="H863" s="17">
        <f>112+128+101+5</f>
        <v>346</v>
      </c>
      <c r="I863" s="16">
        <f>H863/(F863-G863)</f>
        <v>10.176470588235293</v>
      </c>
      <c r="J863" s="17">
        <v>37</v>
      </c>
      <c r="K863" s="25">
        <f>2+25+10</f>
        <v>37</v>
      </c>
      <c r="L863" s="25">
        <f>0+4+0</f>
        <v>4</v>
      </c>
      <c r="M863" s="25">
        <f>16+139+65</f>
        <v>220</v>
      </c>
      <c r="N863" s="24">
        <f>M863/L863</f>
        <v>55</v>
      </c>
      <c r="O863" s="49" t="s">
        <v>1368</v>
      </c>
    </row>
    <row r="864" spans="1:15" s="54" customFormat="1" x14ac:dyDescent="0.2">
      <c r="A864" s="4">
        <v>682275</v>
      </c>
      <c r="B864" s="35" t="s">
        <v>1912</v>
      </c>
      <c r="C864" s="2" t="s">
        <v>85</v>
      </c>
      <c r="D864" s="7">
        <f>24+5+5+5+7+1+5+4+8+2+0+1</f>
        <v>67</v>
      </c>
      <c r="E864" s="7">
        <f>0+0</f>
        <v>0</v>
      </c>
      <c r="F864" s="17">
        <f>32+2+1+11+2+13+13+1+1+11+1+1+15+19+17+1+4</f>
        <v>145</v>
      </c>
      <c r="G864" s="17">
        <f>6+1+1+1+1+2+2+2+3+1+0</f>
        <v>20</v>
      </c>
      <c r="H864" s="17">
        <f>816+16+35+255+10+174+180+5+39+657+20+32+241+295+198+4+32</f>
        <v>3009</v>
      </c>
      <c r="I864" s="16">
        <f>H864/(F864-G864)</f>
        <v>24.071999999999999</v>
      </c>
      <c r="J864" s="17" t="s">
        <v>435</v>
      </c>
      <c r="K864" s="25">
        <f>4+2+2+1+1</f>
        <v>10</v>
      </c>
      <c r="L864" s="25">
        <f>1+0+0</f>
        <v>1</v>
      </c>
      <c r="M864" s="25">
        <f>17+4+5+2+11</f>
        <v>39</v>
      </c>
      <c r="N864" s="24">
        <f>M864/L864</f>
        <v>39</v>
      </c>
      <c r="O864" s="23"/>
    </row>
    <row r="865" spans="1:15" s="54" customFormat="1" x14ac:dyDescent="0.2">
      <c r="A865" s="4">
        <v>682320</v>
      </c>
      <c r="B865" s="35" t="s">
        <v>1335</v>
      </c>
      <c r="C865" s="2" t="s">
        <v>108</v>
      </c>
      <c r="D865" s="7">
        <f>43+2+3+2+6+4+1+7+2+5+0+0+4+4+6+0+3+4</f>
        <v>96</v>
      </c>
      <c r="E865" s="7">
        <f>0+0+0+0+0</f>
        <v>0</v>
      </c>
      <c r="F865" s="17">
        <f>100+1+9+10+11+1+12+2+15+1+4+1+5+4+2+1+10+16+9+4+4+4</f>
        <v>226</v>
      </c>
      <c r="G865" s="17">
        <f>11+3+2+3+2+6+1+1+1+1+2+0+0+5+0+3+0+3+2</f>
        <v>46</v>
      </c>
      <c r="H865" s="17">
        <f>1449+233+190+153+113+27+199+53+31+14+183+103+32+6+318+188+109+17+24+80</f>
        <v>3522</v>
      </c>
      <c r="I865" s="16">
        <f>H865/(F865-G865)</f>
        <v>19.566666666666666</v>
      </c>
      <c r="J865" s="17">
        <v>86</v>
      </c>
      <c r="K865" s="25">
        <f>1312+94+27+26+67+20+131+9+18+29+54+6+9.1+1.5+(0.4)+3+4</f>
        <v>1811</v>
      </c>
      <c r="L865" s="25">
        <f>267+9+3+8+17+3+18+2+4+7+17+1+2+2+0+1</f>
        <v>361</v>
      </c>
      <c r="M865" s="25">
        <f>3367+239+120+98+217+47+435+23+63+94+135+30+22+1+8+14</f>
        <v>4913</v>
      </c>
      <c r="N865" s="24">
        <f>M865/L865</f>
        <v>13.609418282548477</v>
      </c>
      <c r="O865" s="49" t="s">
        <v>1637</v>
      </c>
    </row>
    <row r="866" spans="1:15" s="5" customFormat="1" x14ac:dyDescent="0.2">
      <c r="A866" s="4"/>
      <c r="B866" s="34" t="s">
        <v>943</v>
      </c>
      <c r="C866" s="2" t="s">
        <v>223</v>
      </c>
      <c r="D866" s="7">
        <v>1</v>
      </c>
      <c r="E866" s="7"/>
      <c r="F866" s="17">
        <v>5</v>
      </c>
      <c r="G866" s="17">
        <v>1</v>
      </c>
      <c r="H866" s="17">
        <v>25</v>
      </c>
      <c r="I866" s="16">
        <f>H866/(F866-G866)</f>
        <v>6.25</v>
      </c>
      <c r="J866" s="17"/>
      <c r="K866" s="25">
        <v>16</v>
      </c>
      <c r="L866" s="25">
        <v>3</v>
      </c>
      <c r="M866" s="25">
        <v>19</v>
      </c>
      <c r="N866" s="24">
        <f>M866/L866</f>
        <v>6.333333333333333</v>
      </c>
      <c r="O866" s="23"/>
    </row>
    <row r="867" spans="1:15" s="5" customFormat="1" x14ac:dyDescent="0.2">
      <c r="A867" s="4"/>
      <c r="B867" s="35" t="s">
        <v>944</v>
      </c>
      <c r="C867" s="2" t="s">
        <v>10</v>
      </c>
      <c r="D867" s="7"/>
      <c r="E867" s="7"/>
      <c r="F867" s="17">
        <v>13</v>
      </c>
      <c r="G867" s="17">
        <v>3</v>
      </c>
      <c r="H867" s="17">
        <v>15</v>
      </c>
      <c r="I867" s="16">
        <f>H867/(F867-G867)</f>
        <v>1.5</v>
      </c>
      <c r="J867" s="17" t="s">
        <v>271</v>
      </c>
      <c r="K867" s="25"/>
      <c r="L867" s="25"/>
      <c r="M867" s="25"/>
      <c r="N867" s="24" t="e">
        <f>M867/L867</f>
        <v>#DIV/0!</v>
      </c>
      <c r="O867" s="23"/>
    </row>
    <row r="868" spans="1:15" x14ac:dyDescent="0.2">
      <c r="A868" s="4"/>
      <c r="B868" s="35" t="s">
        <v>945</v>
      </c>
      <c r="C868" s="2" t="s">
        <v>29</v>
      </c>
      <c r="D868" s="7">
        <v>46</v>
      </c>
      <c r="E868" s="7"/>
      <c r="F868" s="17">
        <v>59</v>
      </c>
      <c r="G868" s="17">
        <v>4</v>
      </c>
      <c r="H868" s="17">
        <v>926</v>
      </c>
      <c r="I868" s="16">
        <f>H868/(F868-G868)</f>
        <v>16.836363636363636</v>
      </c>
      <c r="J868" s="17" t="s">
        <v>394</v>
      </c>
      <c r="K868" s="25"/>
      <c r="L868" s="25"/>
      <c r="M868" s="25"/>
      <c r="N868" s="24" t="e">
        <f>M868/L868</f>
        <v>#DIV/0!</v>
      </c>
      <c r="O868" s="23"/>
    </row>
    <row r="869" spans="1:15" s="54" customFormat="1" x14ac:dyDescent="0.2">
      <c r="A869" s="57">
        <v>1157354</v>
      </c>
      <c r="B869" s="79" t="s">
        <v>1419</v>
      </c>
      <c r="C869" s="58" t="s">
        <v>1444</v>
      </c>
      <c r="D869" s="59">
        <f>2+1+5+2+1+5+7+1+2</f>
        <v>26</v>
      </c>
      <c r="E869" s="59">
        <f>0+0+0+0+0+0</f>
        <v>0</v>
      </c>
      <c r="F869" s="60">
        <f>19+11+12+13+11+8+8+2+13</f>
        <v>97</v>
      </c>
      <c r="G869" s="60">
        <f>3+1+5+8+3+5+1+0+2</f>
        <v>28</v>
      </c>
      <c r="H869" s="60">
        <f>36+69+102+95+28+19+19+12+96</f>
        <v>476</v>
      </c>
      <c r="I869" s="61">
        <f>H869/(F869-G869)</f>
        <v>6.8985507246376816</v>
      </c>
      <c r="J869" s="60" t="s">
        <v>428</v>
      </c>
      <c r="K869" s="62">
        <f>13+14.2+11.2+33+22.2+(0.4)+31+14+4+48</f>
        <v>191</v>
      </c>
      <c r="L869" s="62">
        <f>4+5+5+5+7+6+3+1+16</f>
        <v>52</v>
      </c>
      <c r="M869" s="62">
        <f>65+101+34+128+97+113+35+35+206</f>
        <v>814</v>
      </c>
      <c r="N869" s="63">
        <f>M869/L869</f>
        <v>15.653846153846153</v>
      </c>
      <c r="O869" s="66" t="s">
        <v>1793</v>
      </c>
    </row>
    <row r="870" spans="1:15" s="54" customFormat="1" x14ac:dyDescent="0.2">
      <c r="A870" s="4"/>
      <c r="B870" s="34" t="s">
        <v>947</v>
      </c>
      <c r="C870" s="2" t="s">
        <v>257</v>
      </c>
      <c r="D870" s="7">
        <f>1+1</f>
        <v>2</v>
      </c>
      <c r="E870" s="7"/>
      <c r="F870" s="17">
        <v>8</v>
      </c>
      <c r="G870" s="17">
        <v>3</v>
      </c>
      <c r="H870" s="17">
        <v>6</v>
      </c>
      <c r="I870" s="16">
        <f>H870/(F870-G870)</f>
        <v>1.2</v>
      </c>
      <c r="J870" s="17">
        <v>3</v>
      </c>
      <c r="K870" s="25">
        <v>3</v>
      </c>
      <c r="L870" s="25">
        <v>0</v>
      </c>
      <c r="M870" s="25">
        <v>25</v>
      </c>
      <c r="N870" s="24" t="e">
        <f>M870/L870</f>
        <v>#DIV/0!</v>
      </c>
      <c r="O870" s="23"/>
    </row>
    <row r="871" spans="1:15" s="5" customFormat="1" x14ac:dyDescent="0.2">
      <c r="A871" s="4"/>
      <c r="B871" s="35" t="s">
        <v>946</v>
      </c>
      <c r="C871" s="2" t="s">
        <v>43</v>
      </c>
      <c r="D871" s="7">
        <f>41+3+2+3+2</f>
        <v>51</v>
      </c>
      <c r="E871" s="7"/>
      <c r="F871" s="17">
        <f>103+5+2+6+7+9</f>
        <v>132</v>
      </c>
      <c r="G871" s="17">
        <f>12+1+1+2+1</f>
        <v>17</v>
      </c>
      <c r="H871" s="17">
        <f>2725+30+147+45+73+27+98</f>
        <v>3145</v>
      </c>
      <c r="I871" s="16">
        <f>H871/(F871-G871)</f>
        <v>27.347826086956523</v>
      </c>
      <c r="J871" s="17">
        <v>111</v>
      </c>
      <c r="K871" s="25">
        <f>659+17+14+27+53</f>
        <v>770</v>
      </c>
      <c r="L871" s="25">
        <f>107+3+1+3+1</f>
        <v>115</v>
      </c>
      <c r="M871" s="25">
        <f>2386+50+34+87+244</f>
        <v>2801</v>
      </c>
      <c r="N871" s="24">
        <f>M871/L871</f>
        <v>24.356521739130436</v>
      </c>
      <c r="O871" s="23"/>
    </row>
    <row r="872" spans="1:15" s="54" customFormat="1" x14ac:dyDescent="0.2">
      <c r="A872" s="4"/>
      <c r="B872" s="35" t="s">
        <v>948</v>
      </c>
      <c r="C872" s="2" t="s">
        <v>19</v>
      </c>
      <c r="D872" s="7"/>
      <c r="E872" s="7"/>
      <c r="F872" s="17">
        <v>24</v>
      </c>
      <c r="G872" s="17">
        <v>5</v>
      </c>
      <c r="H872" s="17">
        <v>118</v>
      </c>
      <c r="I872" s="16">
        <f>H872/(F872-G872)</f>
        <v>6.2105263157894735</v>
      </c>
      <c r="J872" s="17">
        <v>15</v>
      </c>
      <c r="K872" s="25">
        <v>108</v>
      </c>
      <c r="L872" s="25">
        <v>21</v>
      </c>
      <c r="M872" s="25">
        <v>356</v>
      </c>
      <c r="N872" s="24">
        <f>M872/L872</f>
        <v>16.952380952380953</v>
      </c>
      <c r="O872" s="23"/>
    </row>
    <row r="873" spans="1:15" s="54" customFormat="1" x14ac:dyDescent="0.2">
      <c r="A873" s="4"/>
      <c r="B873" s="35" t="s">
        <v>949</v>
      </c>
      <c r="C873" s="2" t="s">
        <v>56</v>
      </c>
      <c r="D873" s="7">
        <v>4</v>
      </c>
      <c r="E873" s="7"/>
      <c r="F873" s="17">
        <v>4</v>
      </c>
      <c r="G873" s="17">
        <v>0</v>
      </c>
      <c r="H873" s="17">
        <v>40</v>
      </c>
      <c r="I873" s="16">
        <f>H873/(F873-G873)</f>
        <v>10</v>
      </c>
      <c r="J873" s="17">
        <v>35</v>
      </c>
      <c r="K873" s="25"/>
      <c r="L873" s="25"/>
      <c r="M873" s="25"/>
      <c r="N873" s="24" t="e">
        <f>M873/L873</f>
        <v>#DIV/0!</v>
      </c>
      <c r="O873" s="23"/>
    </row>
    <row r="874" spans="1:15" s="5" customFormat="1" x14ac:dyDescent="0.2">
      <c r="A874" s="4"/>
      <c r="B874" s="35" t="s">
        <v>950</v>
      </c>
      <c r="C874" s="2" t="s">
        <v>12</v>
      </c>
      <c r="D874" s="7">
        <v>15</v>
      </c>
      <c r="E874" s="7"/>
      <c r="F874" s="17">
        <v>60</v>
      </c>
      <c r="G874" s="17">
        <v>9</v>
      </c>
      <c r="H874" s="17">
        <v>455</v>
      </c>
      <c r="I874" s="16">
        <f>H874/(F874-G874)</f>
        <v>8.9215686274509807</v>
      </c>
      <c r="J874" s="17" t="s">
        <v>436</v>
      </c>
      <c r="K874" s="25">
        <v>745.2</v>
      </c>
      <c r="L874" s="25">
        <v>186</v>
      </c>
      <c r="M874" s="25">
        <v>2370</v>
      </c>
      <c r="N874" s="24">
        <f>M874/L874</f>
        <v>12.741935483870968</v>
      </c>
      <c r="O874" s="23"/>
    </row>
    <row r="875" spans="1:15" s="54" customFormat="1" x14ac:dyDescent="0.2">
      <c r="A875" s="4"/>
      <c r="B875" s="34" t="s">
        <v>951</v>
      </c>
      <c r="C875" s="2" t="s">
        <v>74</v>
      </c>
      <c r="D875" s="7">
        <f>0+1</f>
        <v>1</v>
      </c>
      <c r="E875" s="7"/>
      <c r="F875" s="17">
        <f>10+13</f>
        <v>23</v>
      </c>
      <c r="G875" s="17">
        <f>0+2</f>
        <v>2</v>
      </c>
      <c r="H875" s="17">
        <f>9+11</f>
        <v>20</v>
      </c>
      <c r="I875" s="16">
        <f>H875/(F875-G875)</f>
        <v>0.95238095238095233</v>
      </c>
      <c r="J875" s="17" t="s">
        <v>281</v>
      </c>
      <c r="K875" s="25">
        <f>10+6</f>
        <v>16</v>
      </c>
      <c r="L875" s="25">
        <f>3+1</f>
        <v>4</v>
      </c>
      <c r="M875" s="25">
        <f>31+46</f>
        <v>77</v>
      </c>
      <c r="N875" s="24">
        <f>M875/L875</f>
        <v>19.25</v>
      </c>
      <c r="O875" s="23"/>
    </row>
    <row r="876" spans="1:15" s="6" customFormat="1" x14ac:dyDescent="0.2">
      <c r="A876" s="4"/>
      <c r="B876" s="35" t="s">
        <v>952</v>
      </c>
      <c r="C876" s="2" t="s">
        <v>131</v>
      </c>
      <c r="D876" s="7">
        <f>56+1+2+5+1+4</f>
        <v>69</v>
      </c>
      <c r="E876" s="7"/>
      <c r="F876" s="17">
        <f>157+7+9+8+2+1+7</f>
        <v>191</v>
      </c>
      <c r="G876" s="17">
        <f>32+3+2+2+2</f>
        <v>41</v>
      </c>
      <c r="H876" s="17">
        <f>1849+55+71+109+68</f>
        <v>2152</v>
      </c>
      <c r="I876" s="16">
        <f>H876/(F876-G876)</f>
        <v>14.346666666666666</v>
      </c>
      <c r="J876" s="17">
        <v>66</v>
      </c>
      <c r="K876" s="25">
        <f>925+82+65+45+8+10+6+5+50</f>
        <v>1196</v>
      </c>
      <c r="L876" s="25">
        <f>147+23+7+10+1+3+8</f>
        <v>199</v>
      </c>
      <c r="M876" s="25">
        <f>3496+283+246+134+19+35+38+20+246</f>
        <v>4517</v>
      </c>
      <c r="N876" s="24">
        <f>M876/L876</f>
        <v>22.698492462311556</v>
      </c>
      <c r="O876" s="23"/>
    </row>
    <row r="877" spans="1:15" s="5" customFormat="1" x14ac:dyDescent="0.2">
      <c r="A877" s="4"/>
      <c r="B877" s="35" t="s">
        <v>953</v>
      </c>
      <c r="C877" s="2" t="s">
        <v>27</v>
      </c>
      <c r="D877" s="7">
        <f>65+5+3</f>
        <v>73</v>
      </c>
      <c r="E877" s="7"/>
      <c r="F877" s="17">
        <f>112+1+12+2+6</f>
        <v>133</v>
      </c>
      <c r="G877" s="17">
        <f>24+1+3+1</f>
        <v>29</v>
      </c>
      <c r="H877" s="17">
        <f>1870+17+165+18+60+98</f>
        <v>2228</v>
      </c>
      <c r="I877" s="16">
        <f>H877/(F877-G877)</f>
        <v>21.423076923076923</v>
      </c>
      <c r="J877" s="17" t="s">
        <v>293</v>
      </c>
      <c r="K877" s="25">
        <f>290+4</f>
        <v>294</v>
      </c>
      <c r="L877" s="25">
        <f>43+1</f>
        <v>44</v>
      </c>
      <c r="M877" s="25">
        <f>491+4</f>
        <v>495</v>
      </c>
      <c r="N877" s="24">
        <f>M877/L877</f>
        <v>11.25</v>
      </c>
      <c r="O877" s="23"/>
    </row>
    <row r="878" spans="1:15" s="5" customFormat="1" x14ac:dyDescent="0.2">
      <c r="A878" s="4"/>
      <c r="B878" s="35" t="s">
        <v>954</v>
      </c>
      <c r="C878" s="2" t="s">
        <v>98</v>
      </c>
      <c r="D878" s="7">
        <v>5</v>
      </c>
      <c r="E878" s="7"/>
      <c r="F878" s="17">
        <v>24</v>
      </c>
      <c r="G878" s="17">
        <v>2</v>
      </c>
      <c r="H878" s="17">
        <v>89</v>
      </c>
      <c r="I878" s="16">
        <f>H878/(F878-G878)</f>
        <v>4.0454545454545459</v>
      </c>
      <c r="J878" s="17">
        <v>26</v>
      </c>
      <c r="K878" s="25">
        <v>188</v>
      </c>
      <c r="L878" s="25">
        <v>26</v>
      </c>
      <c r="M878" s="25">
        <v>546</v>
      </c>
      <c r="N878" s="24">
        <f>M878/L878</f>
        <v>21</v>
      </c>
      <c r="O878" s="23"/>
    </row>
    <row r="879" spans="1:15" s="54" customFormat="1" x14ac:dyDescent="0.2">
      <c r="A879" s="4"/>
      <c r="B879" s="35" t="s">
        <v>955</v>
      </c>
      <c r="C879" s="2" t="s">
        <v>125</v>
      </c>
      <c r="D879" s="8">
        <v>46</v>
      </c>
      <c r="E879" s="7">
        <v>1</v>
      </c>
      <c r="F879" s="17">
        <f>45+9+1+7+1+9+13</f>
        <v>85</v>
      </c>
      <c r="G879" s="17">
        <f>5+1+1+1+1+0</f>
        <v>9</v>
      </c>
      <c r="H879" s="17">
        <f>213+111+8+22+30+58+119</f>
        <v>561</v>
      </c>
      <c r="I879" s="16">
        <f>H879/(F879-G879)</f>
        <v>7.3815789473684212</v>
      </c>
      <c r="J879" s="17" t="s">
        <v>437</v>
      </c>
      <c r="K879" s="25">
        <f>1+2+0</f>
        <v>3</v>
      </c>
      <c r="L879" s="25">
        <f>2+0</f>
        <v>2</v>
      </c>
      <c r="M879" s="25">
        <f>5+19+0</f>
        <v>24</v>
      </c>
      <c r="N879" s="24">
        <f>M879/L879</f>
        <v>12</v>
      </c>
      <c r="O879" s="23"/>
    </row>
    <row r="880" spans="1:15" s="54" customFormat="1" x14ac:dyDescent="0.2">
      <c r="A880" s="4"/>
      <c r="B880" s="35" t="s">
        <v>956</v>
      </c>
      <c r="C880" s="2" t="s">
        <v>11</v>
      </c>
      <c r="D880" s="8">
        <v>3</v>
      </c>
      <c r="E880" s="7"/>
      <c r="F880" s="17">
        <v>6</v>
      </c>
      <c r="G880" s="17">
        <v>1</v>
      </c>
      <c r="H880" s="17">
        <v>0</v>
      </c>
      <c r="I880" s="16">
        <f>H880/(F880-G880)</f>
        <v>0</v>
      </c>
      <c r="J880" s="17">
        <v>0</v>
      </c>
      <c r="K880" s="25">
        <v>8</v>
      </c>
      <c r="L880" s="25">
        <v>0</v>
      </c>
      <c r="M880" s="25">
        <v>59</v>
      </c>
      <c r="N880" s="24" t="e">
        <f>M880/L880</f>
        <v>#DIV/0!</v>
      </c>
      <c r="O880" s="23"/>
    </row>
    <row r="881" spans="1:15" s="5" customFormat="1" x14ac:dyDescent="0.2">
      <c r="A881" s="4"/>
      <c r="B881" s="34" t="s">
        <v>957</v>
      </c>
      <c r="C881" s="2" t="s">
        <v>330</v>
      </c>
      <c r="D881" s="7">
        <f>0+2</f>
        <v>2</v>
      </c>
      <c r="E881" s="7"/>
      <c r="F881" s="17">
        <f>2+2</f>
        <v>4</v>
      </c>
      <c r="G881" s="17">
        <f>0+1</f>
        <v>1</v>
      </c>
      <c r="H881" s="17">
        <f>2+2</f>
        <v>4</v>
      </c>
      <c r="I881" s="16">
        <f>H881/(F881-G881)</f>
        <v>1.3333333333333333</v>
      </c>
      <c r="J881" s="17" t="s">
        <v>323</v>
      </c>
      <c r="K881" s="25"/>
      <c r="L881" s="25"/>
      <c r="M881" s="25"/>
      <c r="N881" s="24" t="e">
        <f>M881/L881</f>
        <v>#DIV/0!</v>
      </c>
      <c r="O881" s="23"/>
    </row>
    <row r="882" spans="1:15" s="54" customFormat="1" x14ac:dyDescent="0.2">
      <c r="A882" s="84">
        <v>634970</v>
      </c>
      <c r="B882" s="85" t="s">
        <v>1560</v>
      </c>
      <c r="C882" s="2" t="s">
        <v>86</v>
      </c>
      <c r="D882" s="7">
        <f>0</f>
        <v>0</v>
      </c>
      <c r="E882" s="7">
        <f>0</f>
        <v>0</v>
      </c>
      <c r="F882" s="17">
        <f>2</f>
        <v>2</v>
      </c>
      <c r="G882" s="17">
        <f>0</f>
        <v>0</v>
      </c>
      <c r="H882" s="17">
        <f>31</f>
        <v>31</v>
      </c>
      <c r="I882" s="16">
        <f>H882/(F882-G882)</f>
        <v>15.5</v>
      </c>
      <c r="J882" s="17">
        <v>28</v>
      </c>
      <c r="K882" s="25"/>
      <c r="L882" s="25"/>
      <c r="M882" s="25"/>
      <c r="N882" s="24" t="e">
        <f>M882/L882</f>
        <v>#DIV/0!</v>
      </c>
      <c r="O882" s="23"/>
    </row>
    <row r="883" spans="1:15" s="5" customFormat="1" x14ac:dyDescent="0.2">
      <c r="A883" s="57">
        <v>1500668</v>
      </c>
      <c r="B883" s="65" t="s">
        <v>2494</v>
      </c>
      <c r="C883" s="58" t="s">
        <v>2495</v>
      </c>
      <c r="D883" s="59">
        <v>1</v>
      </c>
      <c r="E883" s="59">
        <v>0</v>
      </c>
      <c r="F883" s="60">
        <f>9+7</f>
        <v>16</v>
      </c>
      <c r="G883" s="60">
        <v>0</v>
      </c>
      <c r="H883" s="60">
        <f>136+122</f>
        <v>258</v>
      </c>
      <c r="I883" s="61">
        <f>H883/(F883-G883)</f>
        <v>16.125</v>
      </c>
      <c r="J883" s="60">
        <v>47</v>
      </c>
      <c r="K883" s="62">
        <f>58.4+24</f>
        <v>82.4</v>
      </c>
      <c r="L883" s="62">
        <f>20+3</f>
        <v>23</v>
      </c>
      <c r="M883" s="62">
        <f>167+87</f>
        <v>254</v>
      </c>
      <c r="N883" s="63">
        <f>M883/L883</f>
        <v>11.043478260869565</v>
      </c>
      <c r="O883" s="66" t="s">
        <v>2033</v>
      </c>
    </row>
    <row r="884" spans="1:15" s="54" customFormat="1" x14ac:dyDescent="0.2">
      <c r="A884" s="4"/>
      <c r="B884" s="35" t="s">
        <v>958</v>
      </c>
      <c r="C884" s="2" t="s">
        <v>187</v>
      </c>
      <c r="D884" s="8">
        <f>2+1</f>
        <v>3</v>
      </c>
      <c r="E884" s="7"/>
      <c r="F884" s="17">
        <f>10+8</f>
        <v>18</v>
      </c>
      <c r="G884" s="17">
        <f>2+2</f>
        <v>4</v>
      </c>
      <c r="H884" s="17">
        <f>84+97</f>
        <v>181</v>
      </c>
      <c r="I884" s="16">
        <f>H884/(F884-G884)</f>
        <v>12.928571428571429</v>
      </c>
      <c r="J884" s="17" t="s">
        <v>426</v>
      </c>
      <c r="K884" s="25">
        <f>62+60</f>
        <v>122</v>
      </c>
      <c r="L884" s="25">
        <f>9+8</f>
        <v>17</v>
      </c>
      <c r="M884" s="25">
        <f>118+115</f>
        <v>233</v>
      </c>
      <c r="N884" s="24">
        <f>M884/L884</f>
        <v>13.705882352941176</v>
      </c>
      <c r="O884" s="23"/>
    </row>
    <row r="885" spans="1:15" s="5" customFormat="1" x14ac:dyDescent="0.2">
      <c r="A885" s="4">
        <v>2061535</v>
      </c>
      <c r="B885" s="35" t="s">
        <v>2367</v>
      </c>
      <c r="C885" s="2" t="s">
        <v>2368</v>
      </c>
      <c r="D885" s="7">
        <f>2</f>
        <v>2</v>
      </c>
      <c r="E885" s="7">
        <f>0</f>
        <v>0</v>
      </c>
      <c r="F885" s="17">
        <f>9</f>
        <v>9</v>
      </c>
      <c r="G885" s="17">
        <f>2</f>
        <v>2</v>
      </c>
      <c r="H885" s="17">
        <f>9</f>
        <v>9</v>
      </c>
      <c r="I885" s="16">
        <f>H885/(F885-G885)</f>
        <v>1.2857142857142858</v>
      </c>
      <c r="J885" s="17">
        <v>5</v>
      </c>
      <c r="K885" s="25"/>
      <c r="L885" s="25"/>
      <c r="M885" s="25"/>
      <c r="N885" s="24" t="e">
        <f>M885/L885</f>
        <v>#DIV/0!</v>
      </c>
      <c r="O885" s="23"/>
    </row>
    <row r="886" spans="1:15" s="5" customFormat="1" x14ac:dyDescent="0.2">
      <c r="A886" s="4">
        <v>792541</v>
      </c>
      <c r="B886" s="35" t="s">
        <v>2138</v>
      </c>
      <c r="C886" s="2" t="s">
        <v>2139</v>
      </c>
      <c r="D886" s="7">
        <f>0+0</f>
        <v>0</v>
      </c>
      <c r="E886" s="7">
        <v>0</v>
      </c>
      <c r="F886" s="17">
        <f>10+3</f>
        <v>13</v>
      </c>
      <c r="G886" s="17">
        <f>0+0</f>
        <v>0</v>
      </c>
      <c r="H886" s="17">
        <f>80+27</f>
        <v>107</v>
      </c>
      <c r="I886" s="16">
        <f>H886/(F886-G886)</f>
        <v>8.2307692307692299</v>
      </c>
      <c r="J886" s="17">
        <v>18</v>
      </c>
      <c r="K886" s="25">
        <f>15+5</f>
        <v>20</v>
      </c>
      <c r="L886" s="25">
        <f>2+0</f>
        <v>2</v>
      </c>
      <c r="M886" s="25">
        <f>50+5</f>
        <v>55</v>
      </c>
      <c r="N886" s="24">
        <f>M886/L886</f>
        <v>27.5</v>
      </c>
      <c r="O886" s="49" t="s">
        <v>2274</v>
      </c>
    </row>
    <row r="887" spans="1:15" s="5" customFormat="1" x14ac:dyDescent="0.2">
      <c r="A887" s="57">
        <v>768927</v>
      </c>
      <c r="B887" s="65" t="s">
        <v>2589</v>
      </c>
      <c r="C887" s="58" t="s">
        <v>2590</v>
      </c>
      <c r="D887" s="59">
        <v>1</v>
      </c>
      <c r="E887" s="59">
        <v>0</v>
      </c>
      <c r="F887" s="60">
        <f>1+4</f>
        <v>5</v>
      </c>
      <c r="G887" s="60">
        <v>0</v>
      </c>
      <c r="H887" s="60">
        <f>5+26</f>
        <v>31</v>
      </c>
      <c r="I887" s="61">
        <f>H887/(F887-G887)</f>
        <v>6.2</v>
      </c>
      <c r="J887" s="60">
        <v>12</v>
      </c>
      <c r="K887" s="62">
        <f>2+20</f>
        <v>22</v>
      </c>
      <c r="L887" s="62">
        <f>2+5</f>
        <v>7</v>
      </c>
      <c r="M887" s="62">
        <f>14+84</f>
        <v>98</v>
      </c>
      <c r="N887" s="63">
        <f>M887/L887</f>
        <v>14</v>
      </c>
      <c r="O887" s="66" t="s">
        <v>2020</v>
      </c>
    </row>
    <row r="888" spans="1:15" s="5" customFormat="1" x14ac:dyDescent="0.2">
      <c r="A888" s="84">
        <v>1862842</v>
      </c>
      <c r="B888" s="35" t="s">
        <v>1913</v>
      </c>
      <c r="C888" s="2" t="s">
        <v>1914</v>
      </c>
      <c r="D888" s="7">
        <f>3+0</f>
        <v>3</v>
      </c>
      <c r="E888" s="7">
        <f>0</f>
        <v>0</v>
      </c>
      <c r="F888" s="17">
        <f>1+8</f>
        <v>9</v>
      </c>
      <c r="G888" s="17">
        <f>0+0</f>
        <v>0</v>
      </c>
      <c r="H888" s="17">
        <f>4+26</f>
        <v>30</v>
      </c>
      <c r="I888" s="16">
        <f>H888/(F888-G888)</f>
        <v>3.3333333333333335</v>
      </c>
      <c r="J888" s="17">
        <v>9</v>
      </c>
      <c r="K888" s="25"/>
      <c r="L888" s="25"/>
      <c r="M888" s="25"/>
      <c r="N888" s="24" t="e">
        <f>M888/L888</f>
        <v>#DIV/0!</v>
      </c>
      <c r="O888" s="23"/>
    </row>
    <row r="889" spans="1:15" s="54" customFormat="1" x14ac:dyDescent="0.2">
      <c r="A889" s="4"/>
      <c r="B889" s="34" t="s">
        <v>959</v>
      </c>
      <c r="C889" s="2" t="s">
        <v>86</v>
      </c>
      <c r="D889" s="8">
        <v>5</v>
      </c>
      <c r="E889" s="7">
        <v>1</v>
      </c>
      <c r="F889" s="17">
        <v>6</v>
      </c>
      <c r="G889" s="17">
        <v>0</v>
      </c>
      <c r="H889" s="17">
        <v>58</v>
      </c>
      <c r="I889" s="16">
        <f>H889/(F889-G889)</f>
        <v>9.6666666666666661</v>
      </c>
      <c r="J889" s="17">
        <v>21</v>
      </c>
      <c r="K889" s="25">
        <v>14</v>
      </c>
      <c r="L889" s="25">
        <v>1</v>
      </c>
      <c r="M889" s="25">
        <v>78</v>
      </c>
      <c r="N889" s="24">
        <f>M889/L889</f>
        <v>78</v>
      </c>
      <c r="O889" s="23"/>
    </row>
    <row r="890" spans="1:15" s="54" customFormat="1" x14ac:dyDescent="0.2">
      <c r="A890" s="4">
        <v>887366</v>
      </c>
      <c r="B890" s="35" t="s">
        <v>2369</v>
      </c>
      <c r="C890" s="2" t="s">
        <v>2370</v>
      </c>
      <c r="D890" s="7">
        <f>0</f>
        <v>0</v>
      </c>
      <c r="E890" s="7">
        <f>0</f>
        <v>0</v>
      </c>
      <c r="F890" s="17">
        <f>7</f>
        <v>7</v>
      </c>
      <c r="G890" s="17">
        <f>0</f>
        <v>0</v>
      </c>
      <c r="H890" s="17">
        <f>47</f>
        <v>47</v>
      </c>
      <c r="I890" s="16">
        <f>H890/(F890-G890)</f>
        <v>6.7142857142857144</v>
      </c>
      <c r="J890" s="17">
        <v>22</v>
      </c>
      <c r="K890" s="25"/>
      <c r="L890" s="25"/>
      <c r="M890" s="25"/>
      <c r="N890" s="24" t="e">
        <f>M890/L890</f>
        <v>#DIV/0!</v>
      </c>
      <c r="O890" s="23"/>
    </row>
    <row r="891" spans="1:15" s="5" customFormat="1" x14ac:dyDescent="0.2">
      <c r="A891" s="57">
        <v>1906642</v>
      </c>
      <c r="B891" s="65" t="s">
        <v>960</v>
      </c>
      <c r="C891" s="58" t="s">
        <v>360</v>
      </c>
      <c r="D891" s="59">
        <f>5+3+4+2+2</f>
        <v>16</v>
      </c>
      <c r="E891" s="59">
        <f>0+0</f>
        <v>0</v>
      </c>
      <c r="F891" s="60">
        <f>8+10+7+11+12</f>
        <v>48</v>
      </c>
      <c r="G891" s="60">
        <f>2+2+1</f>
        <v>5</v>
      </c>
      <c r="H891" s="60">
        <f>42+27+38+20+221</f>
        <v>348</v>
      </c>
      <c r="I891" s="61">
        <f>H891/(F891-G891)</f>
        <v>8.0930232558139537</v>
      </c>
      <c r="J891" s="60">
        <v>51</v>
      </c>
      <c r="K891" s="62">
        <f>2+3+1+8+24</f>
        <v>38</v>
      </c>
      <c r="L891" s="62">
        <f>0+1+0+3</f>
        <v>4</v>
      </c>
      <c r="M891" s="62">
        <f>14+20+3+40+121</f>
        <v>198</v>
      </c>
      <c r="N891" s="63">
        <f>M891/L891</f>
        <v>49.5</v>
      </c>
      <c r="O891" s="66" t="s">
        <v>2460</v>
      </c>
    </row>
    <row r="892" spans="1:15" x14ac:dyDescent="0.2">
      <c r="A892" s="84">
        <v>1392134</v>
      </c>
      <c r="B892" s="85" t="s">
        <v>1561</v>
      </c>
      <c r="C892" s="2" t="s">
        <v>1562</v>
      </c>
      <c r="D892" s="7">
        <f>1</f>
        <v>1</v>
      </c>
      <c r="E892" s="7">
        <f>0</f>
        <v>0</v>
      </c>
      <c r="F892" s="17"/>
      <c r="G892" s="17"/>
      <c r="H892" s="17"/>
      <c r="I892" s="16" t="e">
        <f>H892/(F892-G892)</f>
        <v>#DIV/0!</v>
      </c>
      <c r="J892" s="17"/>
      <c r="K892" s="25">
        <f>4</f>
        <v>4</v>
      </c>
      <c r="L892" s="25">
        <f>0</f>
        <v>0</v>
      </c>
      <c r="M892" s="25">
        <f>25</f>
        <v>25</v>
      </c>
      <c r="N892" s="24" t="e">
        <f>M892/L892</f>
        <v>#DIV/0!</v>
      </c>
      <c r="O892" s="49" t="s">
        <v>1638</v>
      </c>
    </row>
    <row r="893" spans="1:15" s="54" customFormat="1" x14ac:dyDescent="0.2">
      <c r="A893" s="4"/>
      <c r="B893" s="35" t="s">
        <v>961</v>
      </c>
      <c r="C893" s="2" t="s">
        <v>11</v>
      </c>
      <c r="D893" s="8">
        <v>26</v>
      </c>
      <c r="E893" s="7">
        <v>1</v>
      </c>
      <c r="F893" s="17">
        <f>12+10+1+8</f>
        <v>31</v>
      </c>
      <c r="G893" s="17">
        <f>1+3</f>
        <v>4</v>
      </c>
      <c r="H893" s="17">
        <f>361+369+14+288</f>
        <v>1032</v>
      </c>
      <c r="I893" s="16">
        <f>H893/(F893-G893)</f>
        <v>38.222222222222221</v>
      </c>
      <c r="J893" s="17">
        <v>155</v>
      </c>
      <c r="K893" s="25">
        <f>56+20+6</f>
        <v>82</v>
      </c>
      <c r="L893" s="25">
        <f>11+4+2</f>
        <v>17</v>
      </c>
      <c r="M893" s="25">
        <f>156+22+18</f>
        <v>196</v>
      </c>
      <c r="N893" s="24">
        <f>M893/L893</f>
        <v>11.529411764705882</v>
      </c>
      <c r="O893" s="23"/>
    </row>
    <row r="894" spans="1:15" s="54" customFormat="1" x14ac:dyDescent="0.2">
      <c r="A894" s="4">
        <v>716071</v>
      </c>
      <c r="B894" s="51" t="s">
        <v>1410</v>
      </c>
      <c r="C894" s="2" t="s">
        <v>1445</v>
      </c>
      <c r="D894" s="7">
        <f>4+5+3</f>
        <v>12</v>
      </c>
      <c r="E894" s="7">
        <f>0+0+0</f>
        <v>0</v>
      </c>
      <c r="F894" s="17">
        <f>7+5+10</f>
        <v>22</v>
      </c>
      <c r="G894" s="17">
        <f>5+2+6</f>
        <v>13</v>
      </c>
      <c r="H894" s="17">
        <f>38+12+79</f>
        <v>129</v>
      </c>
      <c r="I894" s="16">
        <f>H894/(F894-G894)</f>
        <v>14.333333333333334</v>
      </c>
      <c r="J894" s="17" t="s">
        <v>1611</v>
      </c>
      <c r="K894" s="25">
        <f>130.4+84+131</f>
        <v>345.4</v>
      </c>
      <c r="L894" s="25">
        <f>32+12+29</f>
        <v>73</v>
      </c>
      <c r="M894" s="25">
        <f>491+324+438</f>
        <v>1253</v>
      </c>
      <c r="N894" s="24">
        <f>M894/L894</f>
        <v>17.164383561643834</v>
      </c>
      <c r="O894" s="49" t="s">
        <v>1361</v>
      </c>
    </row>
    <row r="895" spans="1:15" s="5" customFormat="1" x14ac:dyDescent="0.2">
      <c r="A895" s="4"/>
      <c r="B895" s="35" t="s">
        <v>963</v>
      </c>
      <c r="C895" s="2" t="s">
        <v>11</v>
      </c>
      <c r="D895" s="7">
        <f>2+6+2+3+1</f>
        <v>14</v>
      </c>
      <c r="E895" s="7"/>
      <c r="F895" s="17">
        <f>16+8+12+11+1</f>
        <v>48</v>
      </c>
      <c r="G895" s="17">
        <f>1+2+1</f>
        <v>4</v>
      </c>
      <c r="H895" s="17">
        <f>82+14+25+119+1</f>
        <v>241</v>
      </c>
      <c r="I895" s="16">
        <f>H895/(F895-G895)</f>
        <v>5.4772727272727275</v>
      </c>
      <c r="J895" s="17">
        <v>27</v>
      </c>
      <c r="K895" s="25">
        <f>51+11+23+62+7</f>
        <v>154</v>
      </c>
      <c r="L895" s="25">
        <f>10+2+2+7+1</f>
        <v>22</v>
      </c>
      <c r="M895" s="25">
        <f>139+67+82+256+14</f>
        <v>558</v>
      </c>
      <c r="N895" s="24">
        <f>M895/L895</f>
        <v>25.363636363636363</v>
      </c>
      <c r="O895" s="23"/>
    </row>
    <row r="896" spans="1:15" s="54" customFormat="1" x14ac:dyDescent="0.2">
      <c r="A896" s="4"/>
      <c r="B896" s="35" t="s">
        <v>962</v>
      </c>
      <c r="C896" s="2" t="s">
        <v>43</v>
      </c>
      <c r="D896" s="7">
        <v>1</v>
      </c>
      <c r="E896" s="7"/>
      <c r="F896" s="17">
        <f>10+5</f>
        <v>15</v>
      </c>
      <c r="G896" s="17">
        <v>1</v>
      </c>
      <c r="H896" s="17">
        <f>237+93</f>
        <v>330</v>
      </c>
      <c r="I896" s="16">
        <f>H896/(F896-G896)</f>
        <v>23.571428571428573</v>
      </c>
      <c r="J896" s="17">
        <v>78</v>
      </c>
      <c r="K896" s="25">
        <f>3+53</f>
        <v>56</v>
      </c>
      <c r="L896" s="25">
        <v>11</v>
      </c>
      <c r="M896" s="25">
        <f>28+206</f>
        <v>234</v>
      </c>
      <c r="N896" s="24">
        <f>M896/L896</f>
        <v>21.272727272727273</v>
      </c>
      <c r="O896" s="23"/>
    </row>
    <row r="897" spans="1:15" s="54" customFormat="1" x14ac:dyDescent="0.2">
      <c r="A897" s="4"/>
      <c r="B897" s="35" t="s">
        <v>964</v>
      </c>
      <c r="C897" s="2" t="s">
        <v>20</v>
      </c>
      <c r="D897" s="7">
        <v>1</v>
      </c>
      <c r="E897" s="7"/>
      <c r="F897" s="17">
        <v>9</v>
      </c>
      <c r="G897" s="17">
        <v>1</v>
      </c>
      <c r="H897" s="17">
        <v>15</v>
      </c>
      <c r="I897" s="16">
        <f>H897/(F897-G897)</f>
        <v>1.875</v>
      </c>
      <c r="J897" s="17">
        <v>6</v>
      </c>
      <c r="K897" s="25"/>
      <c r="L897" s="25"/>
      <c r="M897" s="25"/>
      <c r="N897" s="24" t="e">
        <f>M897/L897</f>
        <v>#DIV/0!</v>
      </c>
      <c r="O897" s="23"/>
    </row>
    <row r="898" spans="1:15" s="54" customFormat="1" x14ac:dyDescent="0.2">
      <c r="A898" s="4"/>
      <c r="B898" s="35" t="s">
        <v>965</v>
      </c>
      <c r="C898" s="2" t="s">
        <v>158</v>
      </c>
      <c r="D898" s="7">
        <v>23</v>
      </c>
      <c r="E898" s="7"/>
      <c r="F898" s="17">
        <v>58</v>
      </c>
      <c r="G898" s="17">
        <v>14</v>
      </c>
      <c r="H898" s="17">
        <v>678</v>
      </c>
      <c r="I898" s="16">
        <f>H898/(F898-G898)</f>
        <v>15.409090909090908</v>
      </c>
      <c r="J898" s="17" t="s">
        <v>438</v>
      </c>
      <c r="K898" s="25">
        <v>726</v>
      </c>
      <c r="L898" s="25">
        <v>128</v>
      </c>
      <c r="M898" s="25">
        <v>2579</v>
      </c>
      <c r="N898" s="24">
        <f>M898/L898</f>
        <v>20.1484375</v>
      </c>
      <c r="O898" s="23"/>
    </row>
    <row r="899" spans="1:15" s="54" customFormat="1" x14ac:dyDescent="0.2">
      <c r="A899" s="4"/>
      <c r="B899" s="35" t="s">
        <v>966</v>
      </c>
      <c r="C899" s="2" t="s">
        <v>58</v>
      </c>
      <c r="D899" s="8">
        <v>2</v>
      </c>
      <c r="E899" s="7">
        <v>1</v>
      </c>
      <c r="F899" s="15">
        <f>1+1+2+2+1+1+1+1+1+1+1+1+1+7</f>
        <v>22</v>
      </c>
      <c r="G899" s="15">
        <f>1+2</f>
        <v>3</v>
      </c>
      <c r="H899" s="15">
        <f>1+1+1+3+8+13+6+1+7+7+0+0+6+4+12+97</f>
        <v>167</v>
      </c>
      <c r="I899" s="16">
        <f>H899/(F899-G899)</f>
        <v>8.7894736842105257</v>
      </c>
      <c r="J899" s="17">
        <v>43</v>
      </c>
      <c r="K899" s="23">
        <f>4+4+2+1+2+13</f>
        <v>26</v>
      </c>
      <c r="L899" s="23">
        <f>0+0+0+0+0+4</f>
        <v>4</v>
      </c>
      <c r="M899" s="23">
        <f>22+23+19+5+3+32</f>
        <v>104</v>
      </c>
      <c r="N899" s="24">
        <f>M899/L899</f>
        <v>26</v>
      </c>
      <c r="O899" s="23"/>
    </row>
    <row r="900" spans="1:15" s="5" customFormat="1" x14ac:dyDescent="0.2">
      <c r="A900" s="4"/>
      <c r="B900" s="35" t="s">
        <v>967</v>
      </c>
      <c r="C900" s="2" t="s">
        <v>56</v>
      </c>
      <c r="D900" s="7">
        <f>4+3+1</f>
        <v>8</v>
      </c>
      <c r="E900" s="7"/>
      <c r="F900" s="17">
        <f>4+9+1</f>
        <v>14</v>
      </c>
      <c r="G900" s="17">
        <f>1+1</f>
        <v>2</v>
      </c>
      <c r="H900" s="17">
        <f>33+74+1</f>
        <v>108</v>
      </c>
      <c r="I900" s="16">
        <f>H900/(F900-G900)</f>
        <v>9</v>
      </c>
      <c r="J900" s="17">
        <v>26</v>
      </c>
      <c r="K900" s="25">
        <f>13+4</f>
        <v>17</v>
      </c>
      <c r="L900" s="25">
        <f>3+2</f>
        <v>5</v>
      </c>
      <c r="M900" s="25">
        <f>41+22</f>
        <v>63</v>
      </c>
      <c r="N900" s="24">
        <f>M900/L900</f>
        <v>12.6</v>
      </c>
      <c r="O900" s="23"/>
    </row>
    <row r="901" spans="1:15" s="5" customFormat="1" x14ac:dyDescent="0.2">
      <c r="A901" s="4"/>
      <c r="B901" s="35" t="s">
        <v>968</v>
      </c>
      <c r="C901" s="2" t="s">
        <v>9</v>
      </c>
      <c r="D901" s="7">
        <f>4+4</f>
        <v>8</v>
      </c>
      <c r="E901" s="7"/>
      <c r="F901" s="17">
        <f>12+7</f>
        <v>19</v>
      </c>
      <c r="G901" s="17">
        <f>1+2</f>
        <v>3</v>
      </c>
      <c r="H901" s="17">
        <f>57+55</f>
        <v>112</v>
      </c>
      <c r="I901" s="16">
        <f>H901/(F901-G901)</f>
        <v>7</v>
      </c>
      <c r="J901" s="17">
        <v>22</v>
      </c>
      <c r="K901" s="25">
        <f>22+27</f>
        <v>49</v>
      </c>
      <c r="L901" s="25">
        <f>3+4</f>
        <v>7</v>
      </c>
      <c r="M901" s="25">
        <f>52+66</f>
        <v>118</v>
      </c>
      <c r="N901" s="24">
        <f>M901/L901</f>
        <v>16.857142857142858</v>
      </c>
      <c r="O901" s="23"/>
    </row>
    <row r="902" spans="1:15" s="5" customFormat="1" x14ac:dyDescent="0.2">
      <c r="A902" s="4"/>
      <c r="B902" s="35" t="s">
        <v>969</v>
      </c>
      <c r="C902" s="2" t="s">
        <v>189</v>
      </c>
      <c r="D902" s="7">
        <v>14</v>
      </c>
      <c r="E902" s="7"/>
      <c r="F902" s="17">
        <v>32</v>
      </c>
      <c r="G902" s="17">
        <v>1</v>
      </c>
      <c r="H902" s="17">
        <v>689</v>
      </c>
      <c r="I902" s="16">
        <f>H902/(F902-G902)</f>
        <v>22.225806451612904</v>
      </c>
      <c r="J902" s="17" t="s">
        <v>439</v>
      </c>
      <c r="K902" s="25">
        <v>220.3</v>
      </c>
      <c r="L902" s="25">
        <v>34</v>
      </c>
      <c r="M902" s="25">
        <v>802</v>
      </c>
      <c r="N902" s="24">
        <f>M902/L902</f>
        <v>23.588235294117649</v>
      </c>
      <c r="O902" s="23"/>
    </row>
    <row r="903" spans="1:15" s="54" customFormat="1" x14ac:dyDescent="0.2">
      <c r="A903" s="4"/>
      <c r="B903" s="35" t="s">
        <v>970</v>
      </c>
      <c r="C903" s="2" t="s">
        <v>18</v>
      </c>
      <c r="D903" s="7">
        <v>8</v>
      </c>
      <c r="E903" s="7"/>
      <c r="F903" s="17">
        <v>24</v>
      </c>
      <c r="G903" s="17">
        <v>2</v>
      </c>
      <c r="H903" s="17">
        <v>472</v>
      </c>
      <c r="I903" s="16">
        <f>H903/(F903-G903)</f>
        <v>21.454545454545453</v>
      </c>
      <c r="J903" s="17">
        <v>101</v>
      </c>
      <c r="K903" s="25">
        <v>163.30000000000001</v>
      </c>
      <c r="L903" s="25">
        <v>36</v>
      </c>
      <c r="M903" s="25">
        <v>681</v>
      </c>
      <c r="N903" s="24">
        <f>M903/L903</f>
        <v>18.916666666666668</v>
      </c>
      <c r="O903" s="23"/>
    </row>
    <row r="904" spans="1:15" x14ac:dyDescent="0.2">
      <c r="A904" s="4"/>
      <c r="B904" s="34" t="s">
        <v>971</v>
      </c>
      <c r="C904" s="2" t="s">
        <v>294</v>
      </c>
      <c r="D904" s="7">
        <f>2+0</f>
        <v>2</v>
      </c>
      <c r="E904" s="7"/>
      <c r="F904" s="17">
        <f>9+1</f>
        <v>10</v>
      </c>
      <c r="G904" s="17">
        <f>5+0</f>
        <v>5</v>
      </c>
      <c r="H904" s="17">
        <f>17+0</f>
        <v>17</v>
      </c>
      <c r="I904" s="16">
        <f>H904/(F904-G904)</f>
        <v>3.4</v>
      </c>
      <c r="J904" s="17" t="s">
        <v>271</v>
      </c>
      <c r="K904" s="25">
        <v>1.2</v>
      </c>
      <c r="L904" s="25">
        <f>1</f>
        <v>1</v>
      </c>
      <c r="M904" s="25">
        <f>6</f>
        <v>6</v>
      </c>
      <c r="N904" s="24">
        <f>M904/L904</f>
        <v>6</v>
      </c>
      <c r="O904" s="23"/>
    </row>
    <row r="905" spans="1:15" s="5" customFormat="1" x14ac:dyDescent="0.2">
      <c r="A905" s="4">
        <v>681904</v>
      </c>
      <c r="B905" s="34" t="s">
        <v>1614</v>
      </c>
      <c r="C905" s="2" t="s">
        <v>1615</v>
      </c>
      <c r="D905" s="7">
        <f>0+2+2</f>
        <v>4</v>
      </c>
      <c r="E905" s="7">
        <f>0</f>
        <v>0</v>
      </c>
      <c r="F905" s="17">
        <f>10+4+4</f>
        <v>18</v>
      </c>
      <c r="G905" s="17">
        <f>2+0+1</f>
        <v>3</v>
      </c>
      <c r="H905" s="17">
        <f>24+18+7</f>
        <v>49</v>
      </c>
      <c r="I905" s="16">
        <f>H905/(F905-G905)</f>
        <v>3.2666666666666666</v>
      </c>
      <c r="J905" s="17">
        <v>11</v>
      </c>
      <c r="K905" s="25">
        <f>65+5+64.4</f>
        <v>134.4</v>
      </c>
      <c r="L905" s="25">
        <f>7+1+14</f>
        <v>22</v>
      </c>
      <c r="M905" s="25">
        <f>246+34+250</f>
        <v>530</v>
      </c>
      <c r="N905" s="24">
        <f>M905/L905</f>
        <v>24.09090909090909</v>
      </c>
      <c r="O905" s="49" t="s">
        <v>1389</v>
      </c>
    </row>
    <row r="906" spans="1:15" s="5" customFormat="1" x14ac:dyDescent="0.2">
      <c r="A906" s="4"/>
      <c r="B906" s="35" t="s">
        <v>972</v>
      </c>
      <c r="C906" s="2" t="s">
        <v>131</v>
      </c>
      <c r="D906" s="7">
        <v>15</v>
      </c>
      <c r="E906" s="7"/>
      <c r="F906" s="17">
        <f>44+1</f>
        <v>45</v>
      </c>
      <c r="G906" s="17">
        <f>4+1</f>
        <v>5</v>
      </c>
      <c r="H906" s="17">
        <f>803+6</f>
        <v>809</v>
      </c>
      <c r="I906" s="16">
        <f>H906/(F906-G906)</f>
        <v>20.225000000000001</v>
      </c>
      <c r="J906" s="17">
        <v>66</v>
      </c>
      <c r="K906" s="25">
        <f>601+20</f>
        <v>621</v>
      </c>
      <c r="L906" s="25">
        <f>102+6</f>
        <v>108</v>
      </c>
      <c r="M906" s="25">
        <f>1566+35</f>
        <v>1601</v>
      </c>
      <c r="N906" s="24">
        <f>M906/L906</f>
        <v>14.824074074074074</v>
      </c>
      <c r="O906" s="23"/>
    </row>
    <row r="907" spans="1:15" s="54" customFormat="1" x14ac:dyDescent="0.2">
      <c r="A907" s="4">
        <v>2233871</v>
      </c>
      <c r="B907" s="35" t="s">
        <v>2511</v>
      </c>
      <c r="C907" s="2" t="s">
        <v>2512</v>
      </c>
      <c r="D907" s="7">
        <v>0</v>
      </c>
      <c r="E907" s="7">
        <v>0</v>
      </c>
      <c r="F907" s="17">
        <v>10</v>
      </c>
      <c r="G907" s="17">
        <v>3</v>
      </c>
      <c r="H907" s="17">
        <v>99</v>
      </c>
      <c r="I907" s="16">
        <f>H907/(F907-G907)</f>
        <v>14.142857142857142</v>
      </c>
      <c r="J907" s="17" t="s">
        <v>371</v>
      </c>
      <c r="K907" s="25">
        <v>30.3</v>
      </c>
      <c r="L907" s="25">
        <v>10</v>
      </c>
      <c r="M907" s="25">
        <v>166</v>
      </c>
      <c r="N907" s="24">
        <f>M907/L907</f>
        <v>16.600000000000001</v>
      </c>
      <c r="O907" s="49" t="s">
        <v>1512</v>
      </c>
    </row>
    <row r="908" spans="1:15" s="5" customFormat="1" x14ac:dyDescent="0.2">
      <c r="A908" s="84">
        <v>1751178</v>
      </c>
      <c r="B908" s="35" t="s">
        <v>1915</v>
      </c>
      <c r="C908" s="2" t="s">
        <v>1916</v>
      </c>
      <c r="D908" s="7">
        <f>0</f>
        <v>0</v>
      </c>
      <c r="E908" s="7">
        <f>0</f>
        <v>0</v>
      </c>
      <c r="F908" s="17"/>
      <c r="G908" s="17"/>
      <c r="H908" s="17"/>
      <c r="I908" s="16" t="e">
        <f>H908/(F908-G908)</f>
        <v>#DIV/0!</v>
      </c>
      <c r="J908" s="17"/>
      <c r="K908" s="25"/>
      <c r="L908" s="25"/>
      <c r="M908" s="25"/>
      <c r="N908" s="24" t="e">
        <f>M908/L908</f>
        <v>#DIV/0!</v>
      </c>
      <c r="O908" s="23"/>
    </row>
    <row r="909" spans="1:15" s="5" customFormat="1" x14ac:dyDescent="0.2">
      <c r="A909" s="64">
        <v>1754654</v>
      </c>
      <c r="B909" s="65" t="s">
        <v>1917</v>
      </c>
      <c r="C909" s="58" t="s">
        <v>1918</v>
      </c>
      <c r="D909" s="59">
        <f>0+2+6+3</f>
        <v>11</v>
      </c>
      <c r="E909" s="59">
        <f>0</f>
        <v>0</v>
      </c>
      <c r="F909" s="60">
        <f>6+12+10+12</f>
        <v>40</v>
      </c>
      <c r="G909" s="60">
        <f>2+3+1+1</f>
        <v>7</v>
      </c>
      <c r="H909" s="60">
        <f>22+66+66+51</f>
        <v>205</v>
      </c>
      <c r="I909" s="61">
        <f>H909/(F909-G909)</f>
        <v>6.2121212121212119</v>
      </c>
      <c r="J909" s="60">
        <v>16</v>
      </c>
      <c r="K909" s="62">
        <f>4.2+4+1</f>
        <v>9.1999999999999993</v>
      </c>
      <c r="L909" s="62">
        <f>1+1</f>
        <v>2</v>
      </c>
      <c r="M909" s="62">
        <f>25+34+4</f>
        <v>63</v>
      </c>
      <c r="N909" s="63">
        <f>M909/L909</f>
        <v>31.5</v>
      </c>
      <c r="O909" s="66" t="s">
        <v>1379</v>
      </c>
    </row>
    <row r="910" spans="1:15" s="5" customFormat="1" x14ac:dyDescent="0.2">
      <c r="A910" s="64"/>
      <c r="B910" s="65" t="s">
        <v>2665</v>
      </c>
      <c r="C910" s="58" t="s">
        <v>2666</v>
      </c>
      <c r="D910" s="59">
        <v>0</v>
      </c>
      <c r="E910" s="59"/>
      <c r="F910" s="60">
        <v>8</v>
      </c>
      <c r="G910" s="60">
        <v>1</v>
      </c>
      <c r="H910" s="60">
        <v>31</v>
      </c>
      <c r="I910" s="61">
        <f>H910/(F910-G910)</f>
        <v>4.4285714285714288</v>
      </c>
      <c r="J910" s="60">
        <v>14</v>
      </c>
      <c r="K910" s="62">
        <v>31.1</v>
      </c>
      <c r="L910" s="62">
        <v>6</v>
      </c>
      <c r="M910" s="62">
        <v>103</v>
      </c>
      <c r="N910" s="63">
        <f>M910/L910</f>
        <v>17.166666666666668</v>
      </c>
      <c r="O910" s="66" t="s">
        <v>1467</v>
      </c>
    </row>
    <row r="911" spans="1:15" s="54" customFormat="1" x14ac:dyDescent="0.2">
      <c r="A911" s="4"/>
      <c r="B911" s="35" t="s">
        <v>973</v>
      </c>
      <c r="C911" s="2" t="s">
        <v>19</v>
      </c>
      <c r="D911" s="7">
        <v>5</v>
      </c>
      <c r="E911" s="7"/>
      <c r="F911" s="17">
        <v>4</v>
      </c>
      <c r="G911" s="17">
        <v>1</v>
      </c>
      <c r="H911" s="17">
        <v>8</v>
      </c>
      <c r="I911" s="16">
        <f>H911/(F911-G911)</f>
        <v>2.6666666666666665</v>
      </c>
      <c r="J911" s="17" t="s">
        <v>289</v>
      </c>
      <c r="K911" s="25">
        <v>21</v>
      </c>
      <c r="L911" s="25">
        <v>1</v>
      </c>
      <c r="M911" s="25">
        <v>51</v>
      </c>
      <c r="N911" s="24">
        <f>M911/L911</f>
        <v>51</v>
      </c>
      <c r="O911" s="23"/>
    </row>
    <row r="912" spans="1:15" s="54" customFormat="1" x14ac:dyDescent="0.2">
      <c r="A912" s="84">
        <v>1093323</v>
      </c>
      <c r="B912" s="72" t="s">
        <v>1919</v>
      </c>
      <c r="C912" s="2" t="s">
        <v>1920</v>
      </c>
      <c r="D912" s="7">
        <f>5+6</f>
        <v>11</v>
      </c>
      <c r="E912" s="7">
        <f>0+0</f>
        <v>0</v>
      </c>
      <c r="F912" s="17">
        <f>13+8</f>
        <v>21</v>
      </c>
      <c r="G912" s="17">
        <f>1+2</f>
        <v>3</v>
      </c>
      <c r="H912" s="17">
        <f>479+336</f>
        <v>815</v>
      </c>
      <c r="I912" s="16">
        <f>H912/(F912-G912)</f>
        <v>45.277777777777779</v>
      </c>
      <c r="J912" s="17">
        <v>149</v>
      </c>
      <c r="K912" s="25">
        <f>57+26.1</f>
        <v>83.1</v>
      </c>
      <c r="L912" s="25">
        <f>13+4</f>
        <v>17</v>
      </c>
      <c r="M912" s="25">
        <f>179+80</f>
        <v>259</v>
      </c>
      <c r="N912" s="24">
        <f>M912/L912</f>
        <v>15.235294117647058</v>
      </c>
      <c r="O912" s="49" t="s">
        <v>1464</v>
      </c>
    </row>
    <row r="913" spans="1:15" s="5" customFormat="1" x14ac:dyDescent="0.2">
      <c r="A913" s="4">
        <v>1882975</v>
      </c>
      <c r="B913" s="35" t="s">
        <v>2140</v>
      </c>
      <c r="C913" s="2" t="s">
        <v>2141</v>
      </c>
      <c r="D913" s="7">
        <f>0</f>
        <v>0</v>
      </c>
      <c r="E913" s="7"/>
      <c r="F913" s="17">
        <f>2</f>
        <v>2</v>
      </c>
      <c r="G913" s="17">
        <f>0</f>
        <v>0</v>
      </c>
      <c r="H913" s="17">
        <f>0</f>
        <v>0</v>
      </c>
      <c r="I913" s="16">
        <f>H913/(F913-G913)</f>
        <v>0</v>
      </c>
      <c r="J913" s="17">
        <v>0</v>
      </c>
      <c r="K913" s="25"/>
      <c r="L913" s="25"/>
      <c r="M913" s="25"/>
      <c r="N913" s="24" t="e">
        <f>M913/L913</f>
        <v>#DIV/0!</v>
      </c>
      <c r="O913" s="23"/>
    </row>
    <row r="914" spans="1:15" s="5" customFormat="1" x14ac:dyDescent="0.2">
      <c r="A914" s="4"/>
      <c r="B914" s="35" t="s">
        <v>974</v>
      </c>
      <c r="C914" s="2" t="s">
        <v>19</v>
      </c>
      <c r="D914" s="7">
        <v>6</v>
      </c>
      <c r="E914" s="7"/>
      <c r="F914" s="17">
        <v>26</v>
      </c>
      <c r="G914" s="17">
        <v>5</v>
      </c>
      <c r="H914" s="17">
        <v>274</v>
      </c>
      <c r="I914" s="16">
        <f>H914/(F914-G914)</f>
        <v>13.047619047619047</v>
      </c>
      <c r="J914" s="17">
        <v>50</v>
      </c>
      <c r="K914" s="25">
        <v>65</v>
      </c>
      <c r="L914" s="25">
        <v>9</v>
      </c>
      <c r="M914" s="25">
        <v>315</v>
      </c>
      <c r="N914" s="24">
        <f>M914/L914</f>
        <v>35</v>
      </c>
      <c r="O914" s="23"/>
    </row>
    <row r="915" spans="1:15" s="5" customFormat="1" x14ac:dyDescent="0.2">
      <c r="A915" s="57"/>
      <c r="B915" s="65" t="s">
        <v>2760</v>
      </c>
      <c r="C915" s="58" t="s">
        <v>2105</v>
      </c>
      <c r="D915" s="59">
        <v>0</v>
      </c>
      <c r="E915" s="59"/>
      <c r="F915" s="60">
        <v>10</v>
      </c>
      <c r="G915" s="60">
        <v>3</v>
      </c>
      <c r="H915" s="60">
        <v>135</v>
      </c>
      <c r="I915" s="61">
        <f>H915/(F915-G915)</f>
        <v>19.285714285714285</v>
      </c>
      <c r="J915" s="60">
        <v>31</v>
      </c>
      <c r="K915" s="62">
        <v>61.3</v>
      </c>
      <c r="L915" s="62">
        <v>14</v>
      </c>
      <c r="M915" s="62">
        <v>200</v>
      </c>
      <c r="N915" s="63">
        <f>M915/L915</f>
        <v>14.285714285714286</v>
      </c>
      <c r="O915" s="66" t="s">
        <v>2767</v>
      </c>
    </row>
    <row r="916" spans="1:15" x14ac:dyDescent="0.2">
      <c r="A916" s="4">
        <v>1773342</v>
      </c>
      <c r="B916" s="74" t="s">
        <v>2142</v>
      </c>
      <c r="C916" s="2" t="s">
        <v>2143</v>
      </c>
      <c r="D916" s="7">
        <f>3+3</f>
        <v>6</v>
      </c>
      <c r="E916" s="7">
        <f>0</f>
        <v>0</v>
      </c>
      <c r="F916" s="17">
        <f>13+15</f>
        <v>28</v>
      </c>
      <c r="G916" s="17">
        <f>2+5</f>
        <v>7</v>
      </c>
      <c r="H916" s="17">
        <f>126+132</f>
        <v>258</v>
      </c>
      <c r="I916" s="16">
        <f>H916/(F916-G916)</f>
        <v>12.285714285714286</v>
      </c>
      <c r="J916" s="17" t="s">
        <v>379</v>
      </c>
      <c r="K916" s="25">
        <f>10+2.5</f>
        <v>12.5</v>
      </c>
      <c r="L916" s="25">
        <f>3+1</f>
        <v>4</v>
      </c>
      <c r="M916" s="25">
        <f>27+30</f>
        <v>57</v>
      </c>
      <c r="N916" s="24">
        <f>M916/L916</f>
        <v>14.25</v>
      </c>
      <c r="O916" s="49" t="s">
        <v>1645</v>
      </c>
    </row>
    <row r="917" spans="1:15" s="54" customFormat="1" x14ac:dyDescent="0.2">
      <c r="A917" s="84">
        <v>1498841</v>
      </c>
      <c r="B917" s="35" t="s">
        <v>1921</v>
      </c>
      <c r="C917" s="2" t="s">
        <v>1922</v>
      </c>
      <c r="D917" s="7">
        <f>0+0+0</f>
        <v>0</v>
      </c>
      <c r="E917" s="7">
        <f>0</f>
        <v>0</v>
      </c>
      <c r="F917" s="17">
        <f>8+10</f>
        <v>18</v>
      </c>
      <c r="G917" s="17">
        <f>2+2</f>
        <v>4</v>
      </c>
      <c r="H917" s="17">
        <f>64+79</f>
        <v>143</v>
      </c>
      <c r="I917" s="16">
        <f>H917/(F917-G917)</f>
        <v>10.214285714285714</v>
      </c>
      <c r="J917" s="17">
        <v>32</v>
      </c>
      <c r="K917" s="25">
        <f>10+5</f>
        <v>15</v>
      </c>
      <c r="L917" s="25">
        <f>2+0</f>
        <v>2</v>
      </c>
      <c r="M917" s="25">
        <f>66+61</f>
        <v>127</v>
      </c>
      <c r="N917" s="24">
        <f>M917/L917</f>
        <v>63.5</v>
      </c>
      <c r="O917" s="49" t="s">
        <v>1811</v>
      </c>
    </row>
    <row r="918" spans="1:15" s="54" customFormat="1" x14ac:dyDescent="0.2">
      <c r="A918" s="57"/>
      <c r="B918" s="65" t="s">
        <v>2753</v>
      </c>
      <c r="C918" s="58" t="s">
        <v>2754</v>
      </c>
      <c r="D918" s="59">
        <v>0</v>
      </c>
      <c r="E918" s="59"/>
      <c r="F918" s="60">
        <v>4</v>
      </c>
      <c r="G918" s="60">
        <v>1</v>
      </c>
      <c r="H918" s="60">
        <v>21</v>
      </c>
      <c r="I918" s="61">
        <f>H918/(F918-G918)</f>
        <v>7</v>
      </c>
      <c r="J918" s="60">
        <v>16</v>
      </c>
      <c r="K918" s="62">
        <v>12</v>
      </c>
      <c r="L918" s="62">
        <v>1</v>
      </c>
      <c r="M918" s="62">
        <v>26</v>
      </c>
      <c r="N918" s="63">
        <f>M918/L918</f>
        <v>26</v>
      </c>
      <c r="O918" s="66" t="s">
        <v>1812</v>
      </c>
    </row>
    <row r="919" spans="1:15" s="5" customFormat="1" x14ac:dyDescent="0.2">
      <c r="A919" s="4">
        <v>1912684</v>
      </c>
      <c r="B919" s="35" t="s">
        <v>2144</v>
      </c>
      <c r="C919" s="2" t="s">
        <v>2145</v>
      </c>
      <c r="D919" s="7">
        <f>0</f>
        <v>0</v>
      </c>
      <c r="E919" s="7"/>
      <c r="F919" s="17">
        <f>5</f>
        <v>5</v>
      </c>
      <c r="G919" s="17">
        <f>5</f>
        <v>5</v>
      </c>
      <c r="H919" s="17">
        <f>5</f>
        <v>5</v>
      </c>
      <c r="I919" s="16" t="e">
        <f>H919/(F919-G919)</f>
        <v>#DIV/0!</v>
      </c>
      <c r="J919" s="17" t="s">
        <v>1346</v>
      </c>
      <c r="K919" s="25">
        <f>8</f>
        <v>8</v>
      </c>
      <c r="L919" s="25">
        <f>1</f>
        <v>1</v>
      </c>
      <c r="M919" s="25">
        <f>27</f>
        <v>27</v>
      </c>
      <c r="N919" s="24">
        <f>M919/L919</f>
        <v>27</v>
      </c>
      <c r="O919" s="49" t="s">
        <v>1812</v>
      </c>
    </row>
    <row r="920" spans="1:15" s="5" customFormat="1" x14ac:dyDescent="0.2">
      <c r="A920" s="4"/>
      <c r="B920" s="35" t="s">
        <v>975</v>
      </c>
      <c r="C920" s="2" t="s">
        <v>21</v>
      </c>
      <c r="D920" s="7">
        <v>2</v>
      </c>
      <c r="E920" s="7"/>
      <c r="F920" s="17">
        <v>8</v>
      </c>
      <c r="G920" s="17">
        <v>1</v>
      </c>
      <c r="H920" s="17">
        <v>25</v>
      </c>
      <c r="I920" s="16">
        <f>H920/(F920-G920)</f>
        <v>3.5714285714285716</v>
      </c>
      <c r="J920" s="17">
        <v>8</v>
      </c>
      <c r="K920" s="25">
        <v>17</v>
      </c>
      <c r="L920" s="25">
        <v>6</v>
      </c>
      <c r="M920" s="25">
        <v>104</v>
      </c>
      <c r="N920" s="24">
        <f>M920/L920</f>
        <v>17.333333333333332</v>
      </c>
      <c r="O920" s="23"/>
    </row>
    <row r="921" spans="1:15" s="54" customFormat="1" x14ac:dyDescent="0.2">
      <c r="A921" s="84">
        <v>1273683</v>
      </c>
      <c r="B921" s="35" t="s">
        <v>1923</v>
      </c>
      <c r="C921" s="2" t="s">
        <v>1817</v>
      </c>
      <c r="D921" s="7">
        <f>3</f>
        <v>3</v>
      </c>
      <c r="E921" s="7">
        <f>0</f>
        <v>0</v>
      </c>
      <c r="F921" s="17">
        <f>5</f>
        <v>5</v>
      </c>
      <c r="G921" s="17">
        <f>1</f>
        <v>1</v>
      </c>
      <c r="H921" s="17">
        <f>101</f>
        <v>101</v>
      </c>
      <c r="I921" s="16">
        <f>H921/(F921-G921)</f>
        <v>25.25</v>
      </c>
      <c r="J921" s="17">
        <v>39</v>
      </c>
      <c r="K921" s="25">
        <f>5</f>
        <v>5</v>
      </c>
      <c r="L921" s="25">
        <f>0</f>
        <v>0</v>
      </c>
      <c r="M921" s="25">
        <f>22</f>
        <v>22</v>
      </c>
      <c r="N921" s="24" t="e">
        <f>M921/L921</f>
        <v>#DIV/0!</v>
      </c>
      <c r="O921" s="23"/>
    </row>
    <row r="922" spans="1:15" s="54" customFormat="1" x14ac:dyDescent="0.2">
      <c r="A922" s="4">
        <v>1897009</v>
      </c>
      <c r="B922" s="35" t="s">
        <v>2371</v>
      </c>
      <c r="C922" s="2" t="s">
        <v>1867</v>
      </c>
      <c r="D922" s="7">
        <f>1+1</f>
        <v>2</v>
      </c>
      <c r="E922" s="7">
        <f>0+0</f>
        <v>0</v>
      </c>
      <c r="F922" s="17">
        <f>11+5</f>
        <v>16</v>
      </c>
      <c r="G922" s="17">
        <f>1+3</f>
        <v>4</v>
      </c>
      <c r="H922" s="17">
        <f>55+16</f>
        <v>71</v>
      </c>
      <c r="I922" s="16">
        <f>H922/(F922-G922)</f>
        <v>5.916666666666667</v>
      </c>
      <c r="J922" s="17" t="s">
        <v>447</v>
      </c>
      <c r="K922" s="25">
        <f>31+14</f>
        <v>45</v>
      </c>
      <c r="L922" s="25">
        <f>3+2</f>
        <v>5</v>
      </c>
      <c r="M922" s="25">
        <f>126+63</f>
        <v>189</v>
      </c>
      <c r="N922" s="24">
        <f>M922/L922</f>
        <v>37.799999999999997</v>
      </c>
      <c r="O922" s="49" t="s">
        <v>1362</v>
      </c>
    </row>
    <row r="923" spans="1:15" s="6" customFormat="1" x14ac:dyDescent="0.2">
      <c r="A923" s="4"/>
      <c r="B923" s="2" t="s">
        <v>976</v>
      </c>
      <c r="C923" s="2" t="s">
        <v>16</v>
      </c>
      <c r="D923" s="7">
        <f>5+1</f>
        <v>6</v>
      </c>
      <c r="E923" s="7"/>
      <c r="F923" s="17">
        <f>27+1</f>
        <v>28</v>
      </c>
      <c r="G923" s="17">
        <v>3</v>
      </c>
      <c r="H923" s="17">
        <f>161+11</f>
        <v>172</v>
      </c>
      <c r="I923" s="16">
        <f>H923/(F923-G923)</f>
        <v>6.88</v>
      </c>
      <c r="J923" s="17">
        <v>75</v>
      </c>
      <c r="K923" s="25">
        <f>128+3</f>
        <v>131</v>
      </c>
      <c r="L923" s="25">
        <f>31+1</f>
        <v>32</v>
      </c>
      <c r="M923" s="25">
        <f>361+10</f>
        <v>371</v>
      </c>
      <c r="N923" s="24">
        <f>M923/L923</f>
        <v>11.59375</v>
      </c>
      <c r="O923" s="23"/>
    </row>
    <row r="924" spans="1:15" s="54" customFormat="1" x14ac:dyDescent="0.2">
      <c r="A924" s="4"/>
      <c r="B924" s="34" t="s">
        <v>977</v>
      </c>
      <c r="C924" s="2" t="s">
        <v>309</v>
      </c>
      <c r="D924" s="7">
        <f>2+3+9+8+6</f>
        <v>28</v>
      </c>
      <c r="E924" s="7"/>
      <c r="F924" s="17">
        <f>8+16+16+12+11</f>
        <v>63</v>
      </c>
      <c r="G924" s="17">
        <f>5+6+0+1+0</f>
        <v>12</v>
      </c>
      <c r="H924" s="17">
        <f>18+106+211+94+183</f>
        <v>612</v>
      </c>
      <c r="I924" s="16">
        <f>H924/(F924-G924)</f>
        <v>12</v>
      </c>
      <c r="J924" s="17">
        <v>51</v>
      </c>
      <c r="K924" s="25">
        <f>7+23+29+9</f>
        <v>68</v>
      </c>
      <c r="L924" s="25">
        <f>0+5+13+3</f>
        <v>21</v>
      </c>
      <c r="M924" s="25">
        <f>46+69+144+59</f>
        <v>318</v>
      </c>
      <c r="N924" s="24">
        <f>M924/L924</f>
        <v>15.142857142857142</v>
      </c>
      <c r="O924" s="23"/>
    </row>
    <row r="925" spans="1:15" s="5" customFormat="1" x14ac:dyDescent="0.2">
      <c r="A925" s="4">
        <v>1046431</v>
      </c>
      <c r="B925" s="34" t="s">
        <v>1307</v>
      </c>
      <c r="C925" s="2" t="s">
        <v>1616</v>
      </c>
      <c r="D925" s="7">
        <f>3</f>
        <v>3</v>
      </c>
      <c r="E925" s="7">
        <f>0</f>
        <v>0</v>
      </c>
      <c r="F925" s="17">
        <f>7</f>
        <v>7</v>
      </c>
      <c r="G925" s="17">
        <f>3</f>
        <v>3</v>
      </c>
      <c r="H925" s="17">
        <f>37</f>
        <v>37</v>
      </c>
      <c r="I925" s="16">
        <f>H925/(F925-G925)</f>
        <v>9.25</v>
      </c>
      <c r="J925" s="17">
        <v>9</v>
      </c>
      <c r="K925" s="25">
        <f>3.4</f>
        <v>3.4</v>
      </c>
      <c r="L925" s="25">
        <f>2</f>
        <v>2</v>
      </c>
      <c r="M925" s="25">
        <f>26</f>
        <v>26</v>
      </c>
      <c r="N925" s="24">
        <f>M925/L925</f>
        <v>13</v>
      </c>
      <c r="O925" s="49" t="s">
        <v>1365</v>
      </c>
    </row>
    <row r="926" spans="1:15" s="5" customFormat="1" x14ac:dyDescent="0.2">
      <c r="A926" s="4"/>
      <c r="B926" s="34" t="s">
        <v>978</v>
      </c>
      <c r="C926" s="2" t="s">
        <v>297</v>
      </c>
      <c r="D926" s="7">
        <f>4+6+2+0</f>
        <v>12</v>
      </c>
      <c r="E926" s="7"/>
      <c r="F926" s="17">
        <f>10+10+9+1</f>
        <v>30</v>
      </c>
      <c r="G926" s="17">
        <f>1+0+0+0</f>
        <v>1</v>
      </c>
      <c r="H926" s="17">
        <f>136+95+58+0</f>
        <v>289</v>
      </c>
      <c r="I926" s="16">
        <f>H926/(F926-G926)</f>
        <v>9.9655172413793096</v>
      </c>
      <c r="J926" s="17">
        <v>51</v>
      </c>
      <c r="K926" s="25">
        <f>55+51+22.2</f>
        <v>128.19999999999999</v>
      </c>
      <c r="L926" s="25">
        <f>12+12+3</f>
        <v>27</v>
      </c>
      <c r="M926" s="25">
        <f>165+107+50</f>
        <v>322</v>
      </c>
      <c r="N926" s="24">
        <f>M926/L926</f>
        <v>11.925925925925926</v>
      </c>
      <c r="O926" s="23"/>
    </row>
    <row r="927" spans="1:15" s="54" customFormat="1" x14ac:dyDescent="0.2">
      <c r="A927" s="4">
        <v>1088689</v>
      </c>
      <c r="B927" s="35" t="s">
        <v>1306</v>
      </c>
      <c r="C927" s="2" t="s">
        <v>146</v>
      </c>
      <c r="D927" s="7">
        <f>9</f>
        <v>9</v>
      </c>
      <c r="E927" s="7">
        <f>0</f>
        <v>0</v>
      </c>
      <c r="F927" s="17">
        <f>9</f>
        <v>9</v>
      </c>
      <c r="G927" s="17">
        <f>1</f>
        <v>1</v>
      </c>
      <c r="H927" s="17">
        <f>128</f>
        <v>128</v>
      </c>
      <c r="I927" s="16">
        <f>H927/(F927-G927)</f>
        <v>16</v>
      </c>
      <c r="J927" s="17">
        <v>35</v>
      </c>
      <c r="K927" s="25">
        <f>19</f>
        <v>19</v>
      </c>
      <c r="L927" s="25">
        <f>4</f>
        <v>4</v>
      </c>
      <c r="M927" s="25">
        <f>91</f>
        <v>91</v>
      </c>
      <c r="N927" s="24">
        <f>M927/L927</f>
        <v>22.75</v>
      </c>
      <c r="O927" s="49" t="s">
        <v>1378</v>
      </c>
    </row>
    <row r="928" spans="1:15" s="54" customFormat="1" x14ac:dyDescent="0.2">
      <c r="A928" s="4">
        <v>1777172</v>
      </c>
      <c r="B928" s="35" t="s">
        <v>2146</v>
      </c>
      <c r="C928" s="2" t="s">
        <v>2147</v>
      </c>
      <c r="D928" s="7">
        <f>1</f>
        <v>1</v>
      </c>
      <c r="E928" s="7"/>
      <c r="F928" s="17">
        <f>7</f>
        <v>7</v>
      </c>
      <c r="G928" s="17">
        <f>0</f>
        <v>0</v>
      </c>
      <c r="H928" s="17">
        <f>15</f>
        <v>15</v>
      </c>
      <c r="I928" s="16">
        <f>H928/(F928-G928)</f>
        <v>2.1428571428571428</v>
      </c>
      <c r="J928" s="17">
        <v>8</v>
      </c>
      <c r="K928" s="25">
        <f>12</f>
        <v>12</v>
      </c>
      <c r="L928" s="25">
        <f>5</f>
        <v>5</v>
      </c>
      <c r="M928" s="25">
        <f>42</f>
        <v>42</v>
      </c>
      <c r="N928" s="24">
        <f>M928/L928</f>
        <v>8.4</v>
      </c>
      <c r="O928" s="49" t="s">
        <v>2270</v>
      </c>
    </row>
    <row r="929" spans="1:15" s="5" customFormat="1" x14ac:dyDescent="0.2">
      <c r="A929" s="4"/>
      <c r="B929" s="35" t="s">
        <v>979</v>
      </c>
      <c r="C929" s="2" t="s">
        <v>19</v>
      </c>
      <c r="D929" s="8">
        <v>18</v>
      </c>
      <c r="E929" s="7">
        <v>2</v>
      </c>
      <c r="F929" s="17">
        <v>21</v>
      </c>
      <c r="G929" s="17">
        <v>3</v>
      </c>
      <c r="H929" s="17">
        <v>213</v>
      </c>
      <c r="I929" s="16">
        <f>H929/(F929-G929)</f>
        <v>11.833333333333334</v>
      </c>
      <c r="J929" s="17">
        <v>32</v>
      </c>
      <c r="K929" s="25">
        <v>12</v>
      </c>
      <c r="L929" s="25">
        <v>2</v>
      </c>
      <c r="M929" s="25">
        <v>23</v>
      </c>
      <c r="N929" s="24">
        <f>M929/L929</f>
        <v>11.5</v>
      </c>
      <c r="O929" s="23"/>
    </row>
    <row r="930" spans="1:15" s="54" customFormat="1" x14ac:dyDescent="0.2">
      <c r="A930" s="4"/>
      <c r="B930" s="35" t="s">
        <v>980</v>
      </c>
      <c r="C930" s="2" t="s">
        <v>16</v>
      </c>
      <c r="D930" s="8">
        <v>8</v>
      </c>
      <c r="E930" s="7"/>
      <c r="F930" s="17">
        <v>19</v>
      </c>
      <c r="G930" s="17">
        <v>5</v>
      </c>
      <c r="H930" s="17">
        <v>47</v>
      </c>
      <c r="I930" s="16">
        <f>H930/(F930-G930)</f>
        <v>3.3571428571428572</v>
      </c>
      <c r="J930" s="17">
        <v>16</v>
      </c>
      <c r="K930" s="25">
        <v>5</v>
      </c>
      <c r="L930" s="25">
        <v>1</v>
      </c>
      <c r="M930" s="25">
        <v>25</v>
      </c>
      <c r="N930" s="24">
        <f>M930/L930</f>
        <v>25</v>
      </c>
      <c r="O930" s="23"/>
    </row>
    <row r="931" spans="1:15" s="6" customFormat="1" x14ac:dyDescent="0.2">
      <c r="A931" s="4">
        <v>682239</v>
      </c>
      <c r="B931" s="35" t="s">
        <v>981</v>
      </c>
      <c r="C931" s="2" t="s">
        <v>310</v>
      </c>
      <c r="D931" s="8">
        <f>5+10+1+1+1+2+2+6+8+0+0+7+4+11+9+4+1+4+15+14+6+8+1+2+14+6</f>
        <v>142</v>
      </c>
      <c r="E931" s="7">
        <f>0+0+0+0+0+1</f>
        <v>1</v>
      </c>
      <c r="F931" s="17">
        <f>15+12+2+10+13+1+12+3+19+17+1+1+17+15+15+13+1+11+14+13+14+12+15+5</f>
        <v>251</v>
      </c>
      <c r="G931" s="17">
        <f>2+2+2+1+3+0+1+1+4+4+1+0+0+1+2+0+2+0+0</f>
        <v>26</v>
      </c>
      <c r="H931" s="17">
        <f>165+252+17+60+338+255+17+252+294+0+0+267+329+257+162+42+144+221+227+504+139+245+44</f>
        <v>4231</v>
      </c>
      <c r="I931" s="16">
        <f>H931/(F931-G931)</f>
        <v>18.804444444444446</v>
      </c>
      <c r="J931" s="17">
        <v>120</v>
      </c>
      <c r="K931" s="25">
        <f>73+58+7+74+54+4+84+15+85+89+3+36+11+7.4+5+19+28.2+50+(0.4)+33.2+2</f>
        <v>738.2</v>
      </c>
      <c r="L931" s="25">
        <f>18+18+2+5+16+1+20+2+22+19+1+6+2+3+0+3+5+11+6+0</f>
        <v>160</v>
      </c>
      <c r="M931" s="25">
        <f>152+97+8+209+153+19+227+45+405+319+20+183+79+53+18+100+119+229+143+18</f>
        <v>2596</v>
      </c>
      <c r="N931" s="24">
        <f>M931/L931</f>
        <v>16.225000000000001</v>
      </c>
      <c r="O931" s="49" t="s">
        <v>1507</v>
      </c>
    </row>
    <row r="932" spans="1:15" s="54" customFormat="1" x14ac:dyDescent="0.2">
      <c r="A932" s="4"/>
      <c r="B932" s="34" t="s">
        <v>982</v>
      </c>
      <c r="C932" s="2" t="s">
        <v>218</v>
      </c>
      <c r="D932" s="7">
        <f>1+3+4+3+8+5</f>
        <v>24</v>
      </c>
      <c r="E932" s="7"/>
      <c r="F932" s="17">
        <f>5+8+7+9+11+6</f>
        <v>46</v>
      </c>
      <c r="G932" s="17">
        <f>0+4+3+5+2+1</f>
        <v>15</v>
      </c>
      <c r="H932" s="17">
        <f>22+69+35+20+104+21</f>
        <v>271</v>
      </c>
      <c r="I932" s="16">
        <f>H932/(F932-G932)</f>
        <v>8.741935483870968</v>
      </c>
      <c r="J932" s="17">
        <v>39</v>
      </c>
      <c r="K932" s="25">
        <f>37+47+82+37+38.3+34.2</f>
        <v>275.5</v>
      </c>
      <c r="L932" s="25">
        <f>2+12+22+3+8+10</f>
        <v>57</v>
      </c>
      <c r="M932" s="25">
        <f>88+92+215+108+130+68</f>
        <v>701</v>
      </c>
      <c r="N932" s="24">
        <f>M932/L932</f>
        <v>12.298245614035087</v>
      </c>
      <c r="O932" s="23"/>
    </row>
    <row r="933" spans="1:15" s="54" customFormat="1" x14ac:dyDescent="0.2">
      <c r="A933" s="4">
        <v>803932</v>
      </c>
      <c r="B933" s="34" t="s">
        <v>983</v>
      </c>
      <c r="C933" s="2" t="s">
        <v>272</v>
      </c>
      <c r="D933" s="7">
        <f>3+14+8+3</f>
        <v>28</v>
      </c>
      <c r="E933" s="7">
        <f>0</f>
        <v>0</v>
      </c>
      <c r="F933" s="17">
        <f>13+6+7+11</f>
        <v>37</v>
      </c>
      <c r="G933" s="17">
        <f>1+1+1+3</f>
        <v>6</v>
      </c>
      <c r="H933" s="17">
        <f>81+24+61+149</f>
        <v>315</v>
      </c>
      <c r="I933" s="16">
        <f>H933/(F933-G933)</f>
        <v>10.161290322580646</v>
      </c>
      <c r="J933" s="17">
        <v>45</v>
      </c>
      <c r="K933" s="25">
        <f>33+4+6</f>
        <v>43</v>
      </c>
      <c r="L933" s="25">
        <f>6+1+0</f>
        <v>7</v>
      </c>
      <c r="M933" s="25">
        <f>91+11+14</f>
        <v>116</v>
      </c>
      <c r="N933" s="24">
        <f>M933/L933</f>
        <v>16.571428571428573</v>
      </c>
      <c r="O933" s="23"/>
    </row>
    <row r="934" spans="1:15" s="54" customFormat="1" x14ac:dyDescent="0.2">
      <c r="A934" s="4"/>
      <c r="B934" s="35" t="s">
        <v>984</v>
      </c>
      <c r="C934" s="2" t="s">
        <v>141</v>
      </c>
      <c r="D934" s="7">
        <v>53</v>
      </c>
      <c r="E934" s="7"/>
      <c r="F934" s="17">
        <v>148</v>
      </c>
      <c r="G934" s="17">
        <v>23</v>
      </c>
      <c r="H934" s="17">
        <v>1793</v>
      </c>
      <c r="I934" s="16">
        <f>H934/(F934-G934)</f>
        <v>14.343999999999999</v>
      </c>
      <c r="J934" s="17" t="s">
        <v>308</v>
      </c>
      <c r="K934" s="25">
        <v>933</v>
      </c>
      <c r="L934" s="25">
        <v>137</v>
      </c>
      <c r="M934" s="25">
        <v>3373</v>
      </c>
      <c r="N934" s="24">
        <f>M934/L934</f>
        <v>24.62043795620438</v>
      </c>
      <c r="O934" s="23"/>
    </row>
    <row r="935" spans="1:15" s="54" customFormat="1" x14ac:dyDescent="0.2">
      <c r="A935" s="4">
        <v>2045197</v>
      </c>
      <c r="B935" s="35" t="s">
        <v>2623</v>
      </c>
      <c r="C935" s="2" t="s">
        <v>2624</v>
      </c>
      <c r="D935" s="7">
        <v>0</v>
      </c>
      <c r="E935" s="7">
        <v>0</v>
      </c>
      <c r="F935" s="17">
        <v>5</v>
      </c>
      <c r="G935" s="17">
        <v>0</v>
      </c>
      <c r="H935" s="17">
        <v>43</v>
      </c>
      <c r="I935" s="16">
        <f>H935/(F935-G935)</f>
        <v>8.6</v>
      </c>
      <c r="J935" s="17">
        <v>13</v>
      </c>
      <c r="K935" s="25">
        <v>34.4</v>
      </c>
      <c r="L935" s="25">
        <v>10</v>
      </c>
      <c r="M935" s="25">
        <v>85</v>
      </c>
      <c r="N935" s="24">
        <f>M935/L935</f>
        <v>8.5</v>
      </c>
      <c r="O935" s="49" t="s">
        <v>1464</v>
      </c>
    </row>
    <row r="936" spans="1:15" s="54" customFormat="1" x14ac:dyDescent="0.2">
      <c r="A936" s="4"/>
      <c r="B936" s="34" t="s">
        <v>985</v>
      </c>
      <c r="C936" s="2" t="s">
        <v>222</v>
      </c>
      <c r="D936" s="7">
        <v>0</v>
      </c>
      <c r="E936" s="7"/>
      <c r="F936" s="17">
        <v>3</v>
      </c>
      <c r="G936" s="17">
        <v>1</v>
      </c>
      <c r="H936" s="17">
        <v>4</v>
      </c>
      <c r="I936" s="16">
        <f>H936/(F936-G936)</f>
        <v>2</v>
      </c>
      <c r="J936" s="17" t="s">
        <v>323</v>
      </c>
      <c r="K936" s="25">
        <v>8</v>
      </c>
      <c r="L936" s="25">
        <v>2</v>
      </c>
      <c r="M936" s="25">
        <v>17</v>
      </c>
      <c r="N936" s="24">
        <f>M936/L936</f>
        <v>8.5</v>
      </c>
      <c r="O936" s="23"/>
    </row>
    <row r="937" spans="1:15" s="54" customFormat="1" x14ac:dyDescent="0.2">
      <c r="A937" s="4">
        <v>1223982</v>
      </c>
      <c r="B937" s="51" t="s">
        <v>1424</v>
      </c>
      <c r="C937" s="2" t="s">
        <v>1446</v>
      </c>
      <c r="D937" s="7">
        <f>0</f>
        <v>0</v>
      </c>
      <c r="E937" s="7">
        <f>0</f>
        <v>0</v>
      </c>
      <c r="F937" s="17">
        <f>8</f>
        <v>8</v>
      </c>
      <c r="G937" s="17">
        <f>3</f>
        <v>3</v>
      </c>
      <c r="H937" s="17">
        <f>14</f>
        <v>14</v>
      </c>
      <c r="I937" s="16">
        <f>H937/(F937-G937)</f>
        <v>2.8</v>
      </c>
      <c r="J937" s="17" t="s">
        <v>281</v>
      </c>
      <c r="K937" s="25"/>
      <c r="L937" s="25"/>
      <c r="M937" s="25"/>
      <c r="N937" s="24" t="e">
        <f>M937/L937</f>
        <v>#DIV/0!</v>
      </c>
      <c r="O937" s="23"/>
    </row>
    <row r="938" spans="1:15" s="54" customFormat="1" x14ac:dyDescent="0.2">
      <c r="A938" s="4"/>
      <c r="B938" s="34" t="s">
        <v>986</v>
      </c>
      <c r="C938" s="2" t="s">
        <v>288</v>
      </c>
      <c r="D938" s="7">
        <v>0</v>
      </c>
      <c r="E938" s="7"/>
      <c r="F938" s="17">
        <v>1</v>
      </c>
      <c r="G938" s="17">
        <v>1</v>
      </c>
      <c r="H938" s="17">
        <v>4</v>
      </c>
      <c r="I938" s="16" t="e">
        <f>H938/(F938-G938)</f>
        <v>#DIV/0!</v>
      </c>
      <c r="J938" s="17" t="s">
        <v>289</v>
      </c>
      <c r="K938" s="25"/>
      <c r="L938" s="25"/>
      <c r="M938" s="25"/>
      <c r="N938" s="24" t="e">
        <f>M938/L938</f>
        <v>#DIV/0!</v>
      </c>
      <c r="O938" s="23"/>
    </row>
    <row r="939" spans="1:15" s="5" customFormat="1" x14ac:dyDescent="0.2">
      <c r="A939" s="4"/>
      <c r="B939" s="34" t="s">
        <v>987</v>
      </c>
      <c r="C939" s="2" t="s">
        <v>298</v>
      </c>
      <c r="D939" s="7">
        <f>6+3</f>
        <v>9</v>
      </c>
      <c r="E939" s="7"/>
      <c r="F939" s="17">
        <f>9+7</f>
        <v>16</v>
      </c>
      <c r="G939" s="17">
        <f>3+0</f>
        <v>3</v>
      </c>
      <c r="H939" s="17">
        <f>240+155</f>
        <v>395</v>
      </c>
      <c r="I939" s="16">
        <f>H939/(F939-G939)</f>
        <v>30.384615384615383</v>
      </c>
      <c r="J939" s="17">
        <v>72</v>
      </c>
      <c r="K939" s="25">
        <f>88+42</f>
        <v>130</v>
      </c>
      <c r="L939" s="25">
        <f>15+4</f>
        <v>19</v>
      </c>
      <c r="M939" s="25">
        <f>231+121</f>
        <v>352</v>
      </c>
      <c r="N939" s="24">
        <f>M939/L939</f>
        <v>18.526315789473685</v>
      </c>
      <c r="O939" s="23"/>
    </row>
    <row r="940" spans="1:15" s="5" customFormat="1" x14ac:dyDescent="0.2">
      <c r="A940" s="4">
        <v>1273646</v>
      </c>
      <c r="B940" s="35" t="s">
        <v>2372</v>
      </c>
      <c r="C940" s="2" t="s">
        <v>2373</v>
      </c>
      <c r="D940" s="7">
        <f>2</f>
        <v>2</v>
      </c>
      <c r="E940" s="7">
        <f>0</f>
        <v>0</v>
      </c>
      <c r="F940" s="17">
        <f>6</f>
        <v>6</v>
      </c>
      <c r="G940" s="17">
        <f>2</f>
        <v>2</v>
      </c>
      <c r="H940" s="17">
        <f>17</f>
        <v>17</v>
      </c>
      <c r="I940" s="16">
        <f>H940/(F940-G940)</f>
        <v>4.25</v>
      </c>
      <c r="J940" s="17">
        <v>17</v>
      </c>
      <c r="K940" s="25">
        <f>2</f>
        <v>2</v>
      </c>
      <c r="L940" s="25">
        <f>0</f>
        <v>0</v>
      </c>
      <c r="M940" s="25">
        <f>4</f>
        <v>4</v>
      </c>
      <c r="N940" s="24" t="e">
        <f>M940/L940</f>
        <v>#DIV/0!</v>
      </c>
      <c r="O940" s="49" t="s">
        <v>1511</v>
      </c>
    </row>
    <row r="941" spans="1:15" s="5" customFormat="1" x14ac:dyDescent="0.2">
      <c r="A941" s="4">
        <v>1310260</v>
      </c>
      <c r="B941" s="72" t="s">
        <v>2148</v>
      </c>
      <c r="C941" s="2" t="s">
        <v>2149</v>
      </c>
      <c r="D941" s="7">
        <f>5</f>
        <v>5</v>
      </c>
      <c r="E941" s="7"/>
      <c r="F941" s="17">
        <f>7</f>
        <v>7</v>
      </c>
      <c r="G941" s="17">
        <f>2</f>
        <v>2</v>
      </c>
      <c r="H941" s="17">
        <f>17</f>
        <v>17</v>
      </c>
      <c r="I941" s="16">
        <f>H941/(F941-G941)</f>
        <v>3.4</v>
      </c>
      <c r="J941" s="17">
        <v>7</v>
      </c>
      <c r="K941" s="25">
        <f>84</f>
        <v>84</v>
      </c>
      <c r="L941" s="25">
        <f>10</f>
        <v>10</v>
      </c>
      <c r="M941" s="25">
        <f>206</f>
        <v>206</v>
      </c>
      <c r="N941" s="24">
        <f>M941/L941</f>
        <v>20.6</v>
      </c>
      <c r="O941" s="49" t="s">
        <v>1372</v>
      </c>
    </row>
    <row r="942" spans="1:15" s="54" customFormat="1" x14ac:dyDescent="0.2">
      <c r="A942" s="84">
        <v>1333408</v>
      </c>
      <c r="B942" s="35" t="s">
        <v>1721</v>
      </c>
      <c r="C942" s="2" t="s">
        <v>1722</v>
      </c>
      <c r="D942" s="7">
        <f>2+0+0</f>
        <v>2</v>
      </c>
      <c r="E942" s="7">
        <f>0+0</f>
        <v>0</v>
      </c>
      <c r="F942" s="17">
        <f>9+7+3</f>
        <v>19</v>
      </c>
      <c r="G942" s="17">
        <f>2+3+0</f>
        <v>5</v>
      </c>
      <c r="H942" s="17">
        <f>21+40+0</f>
        <v>61</v>
      </c>
      <c r="I942" s="16">
        <f>H942/(F942-G942)</f>
        <v>4.3571428571428568</v>
      </c>
      <c r="J942" s="17">
        <v>14</v>
      </c>
      <c r="K942" s="25">
        <f>49.4+22.5+(0.4)+7</f>
        <v>79.300000000000011</v>
      </c>
      <c r="L942" s="25">
        <f>10+1+1</f>
        <v>12</v>
      </c>
      <c r="M942" s="25">
        <f>128+37+13</f>
        <v>178</v>
      </c>
      <c r="N942" s="24">
        <f>M942/L942</f>
        <v>14.833333333333334</v>
      </c>
      <c r="O942" s="49" t="s">
        <v>1497</v>
      </c>
    </row>
    <row r="943" spans="1:15" s="54" customFormat="1" x14ac:dyDescent="0.2">
      <c r="A943" s="57">
        <v>2114368</v>
      </c>
      <c r="B943" s="65" t="s">
        <v>2374</v>
      </c>
      <c r="C943" s="58" t="s">
        <v>2375</v>
      </c>
      <c r="D943" s="59">
        <f>0+0</f>
        <v>0</v>
      </c>
      <c r="E943" s="59">
        <f>0+0</f>
        <v>0</v>
      </c>
      <c r="F943" s="60">
        <f>3+9+11</f>
        <v>23</v>
      </c>
      <c r="G943" s="60">
        <f>0+1+1</f>
        <v>2</v>
      </c>
      <c r="H943" s="60">
        <f>90+168+104</f>
        <v>362</v>
      </c>
      <c r="I943" s="61">
        <f>H943/(F943-G943)</f>
        <v>17.238095238095237</v>
      </c>
      <c r="J943" s="60">
        <v>57</v>
      </c>
      <c r="K943" s="62">
        <f>4+5</f>
        <v>9</v>
      </c>
      <c r="L943" s="62">
        <v>1</v>
      </c>
      <c r="M943" s="62">
        <f>31+19</f>
        <v>50</v>
      </c>
      <c r="N943" s="63">
        <f>M943/L943</f>
        <v>50</v>
      </c>
      <c r="O943" s="66" t="s">
        <v>2682</v>
      </c>
    </row>
    <row r="944" spans="1:15" s="6" customFormat="1" x14ac:dyDescent="0.2">
      <c r="A944" s="84">
        <v>662997</v>
      </c>
      <c r="B944" s="86" t="s">
        <v>1563</v>
      </c>
      <c r="C944" s="2" t="s">
        <v>1564</v>
      </c>
      <c r="D944" s="7">
        <f>0</f>
        <v>0</v>
      </c>
      <c r="E944" s="7">
        <f>0</f>
        <v>0</v>
      </c>
      <c r="F944" s="17">
        <f>1</f>
        <v>1</v>
      </c>
      <c r="G944" s="17">
        <f>1</f>
        <v>1</v>
      </c>
      <c r="H944" s="17">
        <f>0</f>
        <v>0</v>
      </c>
      <c r="I944" s="16" t="e">
        <f>H944/(F944-G944)</f>
        <v>#DIV/0!</v>
      </c>
      <c r="J944" s="17" t="s">
        <v>372</v>
      </c>
      <c r="K944" s="25">
        <f>5</f>
        <v>5</v>
      </c>
      <c r="L944" s="25">
        <f>1</f>
        <v>1</v>
      </c>
      <c r="M944" s="25">
        <f>21</f>
        <v>21</v>
      </c>
      <c r="N944" s="24">
        <f>M944/L944</f>
        <v>21</v>
      </c>
      <c r="O944" s="49" t="s">
        <v>1639</v>
      </c>
    </row>
    <row r="945" spans="1:15" s="54" customFormat="1" x14ac:dyDescent="0.2">
      <c r="A945" s="64"/>
      <c r="B945" s="65" t="s">
        <v>2705</v>
      </c>
      <c r="C945" s="58" t="s">
        <v>2706</v>
      </c>
      <c r="D945" s="59">
        <v>0</v>
      </c>
      <c r="E945" s="59"/>
      <c r="F945" s="60">
        <v>1</v>
      </c>
      <c r="G945" s="60">
        <v>0</v>
      </c>
      <c r="H945" s="60">
        <v>0</v>
      </c>
      <c r="I945" s="61">
        <f>H945/(F945-G945)</f>
        <v>0</v>
      </c>
      <c r="J945" s="60">
        <v>0</v>
      </c>
      <c r="K945" s="62"/>
      <c r="L945" s="62"/>
      <c r="M945" s="62"/>
      <c r="N945" s="63" t="e">
        <f>M945/L945</f>
        <v>#DIV/0!</v>
      </c>
      <c r="O945" s="66"/>
    </row>
    <row r="946" spans="1:15" s="54" customFormat="1" x14ac:dyDescent="0.2">
      <c r="A946" s="4"/>
      <c r="B946" s="35" t="s">
        <v>988</v>
      </c>
      <c r="C946" s="2" t="s">
        <v>104</v>
      </c>
      <c r="D946" s="7">
        <f>21+1+3+1+5+4+5+8+4+1+1+1</f>
        <v>55</v>
      </c>
      <c r="E946" s="7"/>
      <c r="F946" s="17">
        <f>87+7+1+1+3+9+13+15+12+1+9+1+3+10+7+17</f>
        <v>196</v>
      </c>
      <c r="G946" s="17">
        <f>23+3+1+1+1+3+1+1+1+3+0</f>
        <v>38</v>
      </c>
      <c r="H946" s="17">
        <f>405+129+3+16+11+67+113+79+3+136+4+1+55+22+184</f>
        <v>1228</v>
      </c>
      <c r="I946" s="16">
        <f>H946/(F946-G946)</f>
        <v>7.7721518987341769</v>
      </c>
      <c r="J946" s="17" t="s">
        <v>407</v>
      </c>
      <c r="K946" s="25">
        <f>236+18+7+9+51+48+60+67+31+38+47</f>
        <v>612</v>
      </c>
      <c r="L946" s="25">
        <f>40+1+2+4+20+8+9+7+7+7+16</f>
        <v>121</v>
      </c>
      <c r="M946" s="25">
        <f>746+58+42+41+198+155+256+152+90+71+176</f>
        <v>1985</v>
      </c>
      <c r="N946" s="24">
        <f>M946/L946</f>
        <v>16.404958677685951</v>
      </c>
      <c r="O946" s="23"/>
    </row>
    <row r="947" spans="1:15" s="54" customFormat="1" x14ac:dyDescent="0.2">
      <c r="A947" s="4"/>
      <c r="B947" s="35" t="s">
        <v>989</v>
      </c>
      <c r="C947" s="2" t="s">
        <v>105</v>
      </c>
      <c r="D947" s="7">
        <f>11+2+4+2+6</f>
        <v>25</v>
      </c>
      <c r="E947" s="7"/>
      <c r="F947" s="17">
        <f>81+12+11+3+10+5+1+17</f>
        <v>140</v>
      </c>
      <c r="G947" s="17">
        <f>36+3+5+1+10+1+1</f>
        <v>57</v>
      </c>
      <c r="H947" s="17">
        <f>212+51+49+4+47+104+5+4+144</f>
        <v>620</v>
      </c>
      <c r="I947" s="16">
        <f>H947/(F947-G947)</f>
        <v>7.4698795180722888</v>
      </c>
      <c r="J947" s="17">
        <v>48</v>
      </c>
      <c r="K947" s="25">
        <f>29+26+24+28+72+7+37</f>
        <v>223</v>
      </c>
      <c r="L947" s="25">
        <f>8+7+3+6+6+9</f>
        <v>39</v>
      </c>
      <c r="M947" s="25">
        <f>197+143+75+111+273+52+117</f>
        <v>968</v>
      </c>
      <c r="N947" s="24">
        <f>M947/L947</f>
        <v>24.820512820512821</v>
      </c>
      <c r="O947" s="23"/>
    </row>
    <row r="948" spans="1:15" s="6" customFormat="1" x14ac:dyDescent="0.2">
      <c r="A948" s="4"/>
      <c r="B948" s="2" t="s">
        <v>990</v>
      </c>
      <c r="C948" s="2" t="s">
        <v>156</v>
      </c>
      <c r="D948" s="7">
        <v>15</v>
      </c>
      <c r="E948" s="7"/>
      <c r="F948" s="17">
        <v>29</v>
      </c>
      <c r="G948" s="17">
        <v>12</v>
      </c>
      <c r="H948" s="17">
        <v>100</v>
      </c>
      <c r="I948" s="16">
        <f>H948/(F948-G948)</f>
        <v>5.882352941176471</v>
      </c>
      <c r="J948" s="17">
        <v>18</v>
      </c>
      <c r="K948" s="25">
        <v>198.1</v>
      </c>
      <c r="L948" s="25">
        <v>46</v>
      </c>
      <c r="M948" s="25">
        <v>687</v>
      </c>
      <c r="N948" s="24">
        <f>M948/L948</f>
        <v>14.934782608695652</v>
      </c>
      <c r="O948" s="23"/>
    </row>
    <row r="949" spans="1:15" s="5" customFormat="1" x14ac:dyDescent="0.2">
      <c r="A949" s="4"/>
      <c r="B949" s="35" t="s">
        <v>991</v>
      </c>
      <c r="C949" s="2" t="s">
        <v>106</v>
      </c>
      <c r="D949" s="7">
        <v>51</v>
      </c>
      <c r="E949" s="7"/>
      <c r="F949" s="17">
        <v>170</v>
      </c>
      <c r="G949" s="17">
        <v>32</v>
      </c>
      <c r="H949" s="17">
        <v>1356</v>
      </c>
      <c r="I949" s="16">
        <f>H949/(F949-G949)</f>
        <v>9.8260869565217384</v>
      </c>
      <c r="J949" s="17">
        <v>42</v>
      </c>
      <c r="K949" s="25">
        <v>1166</v>
      </c>
      <c r="L949" s="25">
        <v>236</v>
      </c>
      <c r="M949" s="25">
        <v>3862</v>
      </c>
      <c r="N949" s="24">
        <f>M949/L949</f>
        <v>16.364406779661017</v>
      </c>
      <c r="O949" s="23"/>
    </row>
    <row r="950" spans="1:15" x14ac:dyDescent="0.2">
      <c r="A950" s="4"/>
      <c r="B950" s="35" t="s">
        <v>992</v>
      </c>
      <c r="C950" s="2" t="s">
        <v>96</v>
      </c>
      <c r="D950" s="7">
        <f>32+1+4+1+3+2+1</f>
        <v>44</v>
      </c>
      <c r="E950" s="7"/>
      <c r="F950" s="17">
        <f>102+3+2+6+5+5+2+1+9+1+4+4</f>
        <v>144</v>
      </c>
      <c r="G950" s="17">
        <f>31+1+1+2+2+2+1+2</f>
        <v>42</v>
      </c>
      <c r="H950" s="17">
        <f>627+23+1+13+13+20+4+1+32+5</f>
        <v>739</v>
      </c>
      <c r="I950" s="16">
        <f>H950/(F950-G950)</f>
        <v>7.2450980392156863</v>
      </c>
      <c r="J950" s="17">
        <v>36</v>
      </c>
      <c r="K950" s="25">
        <f>1418+74+16+137+175+12+12+108+32+5+167+68+50</f>
        <v>2274</v>
      </c>
      <c r="L950" s="25">
        <f>245+8+1+17+35+5+1+16+1+3+24+14+12</f>
        <v>382</v>
      </c>
      <c r="M950" s="25">
        <f>4212+303+57+406+447+23+33+311+86+15+399+199+144</f>
        <v>6635</v>
      </c>
      <c r="N950" s="24">
        <f>M950/L950</f>
        <v>17.369109947643977</v>
      </c>
      <c r="O950" s="23"/>
    </row>
    <row r="951" spans="1:15" s="6" customFormat="1" x14ac:dyDescent="0.2">
      <c r="A951" s="4"/>
      <c r="B951" s="35" t="s">
        <v>993</v>
      </c>
      <c r="C951" s="2" t="s">
        <v>190</v>
      </c>
      <c r="D951" s="7">
        <v>1</v>
      </c>
      <c r="E951" s="7"/>
      <c r="F951" s="17">
        <v>4</v>
      </c>
      <c r="G951" s="17"/>
      <c r="H951" s="17">
        <v>22</v>
      </c>
      <c r="I951" s="16">
        <f>H951/(F951-G951)</f>
        <v>5.5</v>
      </c>
      <c r="J951" s="17">
        <v>14</v>
      </c>
      <c r="K951" s="25"/>
      <c r="L951" s="25"/>
      <c r="M951" s="25"/>
      <c r="N951" s="24" t="e">
        <f>M951/L951</f>
        <v>#DIV/0!</v>
      </c>
      <c r="O951" s="23"/>
    </row>
    <row r="952" spans="1:15" s="5" customFormat="1" x14ac:dyDescent="0.2">
      <c r="A952" s="4"/>
      <c r="B952" s="35" t="s">
        <v>994</v>
      </c>
      <c r="C952" s="2" t="s">
        <v>180</v>
      </c>
      <c r="D952" s="7">
        <v>4</v>
      </c>
      <c r="E952" s="7"/>
      <c r="F952" s="17">
        <v>1</v>
      </c>
      <c r="G952" s="17"/>
      <c r="H952" s="17">
        <v>164</v>
      </c>
      <c r="I952" s="16">
        <f>H952/(F952-G952)</f>
        <v>164</v>
      </c>
      <c r="J952" s="17">
        <v>33</v>
      </c>
      <c r="K952" s="25">
        <v>53</v>
      </c>
      <c r="L952" s="25">
        <v>9</v>
      </c>
      <c r="M952" s="25">
        <v>203</v>
      </c>
      <c r="N952" s="24">
        <f>M952/L952</f>
        <v>22.555555555555557</v>
      </c>
      <c r="O952" s="23"/>
    </row>
    <row r="953" spans="1:15" s="54" customFormat="1" x14ac:dyDescent="0.2">
      <c r="A953" s="4"/>
      <c r="B953" s="35" t="s">
        <v>995</v>
      </c>
      <c r="C953" s="2" t="s">
        <v>121</v>
      </c>
      <c r="D953" s="7">
        <v>6</v>
      </c>
      <c r="E953" s="7"/>
      <c r="F953" s="17">
        <v>29</v>
      </c>
      <c r="G953" s="17">
        <v>3</v>
      </c>
      <c r="H953" s="17">
        <v>601</v>
      </c>
      <c r="I953" s="16">
        <f>H953/(F953-G953)</f>
        <v>23.115384615384617</v>
      </c>
      <c r="J953" s="17">
        <v>107</v>
      </c>
      <c r="K953" s="25">
        <v>64</v>
      </c>
      <c r="L953" s="25">
        <v>14</v>
      </c>
      <c r="M953" s="25">
        <v>232</v>
      </c>
      <c r="N953" s="24">
        <f>M953/L953</f>
        <v>16.571428571428573</v>
      </c>
      <c r="O953" s="23"/>
    </row>
    <row r="954" spans="1:15" s="54" customFormat="1" x14ac:dyDescent="0.2">
      <c r="A954" s="4"/>
      <c r="B954" s="35" t="s">
        <v>996</v>
      </c>
      <c r="C954" s="2" t="s">
        <v>19</v>
      </c>
      <c r="D954" s="7"/>
      <c r="E954" s="7"/>
      <c r="F954" s="17">
        <v>15</v>
      </c>
      <c r="G954" s="17">
        <v>4</v>
      </c>
      <c r="H954" s="17">
        <v>65</v>
      </c>
      <c r="I954" s="16">
        <f>H954/(F954-G954)</f>
        <v>5.9090909090909092</v>
      </c>
      <c r="J954" s="17">
        <v>17</v>
      </c>
      <c r="K954" s="25"/>
      <c r="L954" s="25"/>
      <c r="M954" s="25"/>
      <c r="N954" s="24" t="e">
        <f>M954/L954</f>
        <v>#DIV/0!</v>
      </c>
      <c r="O954" s="23"/>
    </row>
    <row r="955" spans="1:15" s="54" customFormat="1" x14ac:dyDescent="0.2">
      <c r="A955" s="4"/>
      <c r="B955" s="35" t="s">
        <v>997</v>
      </c>
      <c r="C955" s="2" t="s">
        <v>12</v>
      </c>
      <c r="D955" s="7">
        <v>5</v>
      </c>
      <c r="E955" s="7"/>
      <c r="F955" s="17">
        <v>43</v>
      </c>
      <c r="G955" s="17">
        <v>10</v>
      </c>
      <c r="H955" s="17">
        <v>128</v>
      </c>
      <c r="I955" s="16">
        <f>H955/(F955-G955)</f>
        <v>3.8787878787878789</v>
      </c>
      <c r="J955" s="17">
        <v>27</v>
      </c>
      <c r="K955" s="25">
        <v>110</v>
      </c>
      <c r="L955" s="25">
        <v>15</v>
      </c>
      <c r="M955" s="25">
        <v>419</v>
      </c>
      <c r="N955" s="24">
        <f>M955/L955</f>
        <v>27.933333333333334</v>
      </c>
      <c r="O955" s="23"/>
    </row>
    <row r="956" spans="1:15" s="5" customFormat="1" x14ac:dyDescent="0.2">
      <c r="A956" s="84">
        <v>1764498</v>
      </c>
      <c r="B956" s="35" t="s">
        <v>1924</v>
      </c>
      <c r="C956" s="2" t="s">
        <v>1925</v>
      </c>
      <c r="D956" s="7">
        <f>3</f>
        <v>3</v>
      </c>
      <c r="E956" s="7">
        <f>0</f>
        <v>0</v>
      </c>
      <c r="F956" s="17">
        <f>4</f>
        <v>4</v>
      </c>
      <c r="G956" s="17">
        <f>0</f>
        <v>0</v>
      </c>
      <c r="H956" s="17">
        <f>37</f>
        <v>37</v>
      </c>
      <c r="I956" s="16">
        <f>H956/(F956-G956)</f>
        <v>9.25</v>
      </c>
      <c r="J956" s="17">
        <v>20</v>
      </c>
      <c r="K956" s="25"/>
      <c r="L956" s="25"/>
      <c r="M956" s="25"/>
      <c r="N956" s="24" t="e">
        <f>M956/L956</f>
        <v>#DIV/0!</v>
      </c>
      <c r="O956" s="23"/>
    </row>
    <row r="957" spans="1:15" s="54" customFormat="1" x14ac:dyDescent="0.2">
      <c r="A957" s="4"/>
      <c r="B957" s="35" t="s">
        <v>998</v>
      </c>
      <c r="C957" s="2" t="s">
        <v>11</v>
      </c>
      <c r="D957" s="7"/>
      <c r="E957" s="7"/>
      <c r="F957" s="17">
        <v>8</v>
      </c>
      <c r="G957" s="17"/>
      <c r="H957" s="17">
        <v>66</v>
      </c>
      <c r="I957" s="16">
        <f>H957/(F957-G957)</f>
        <v>8.25</v>
      </c>
      <c r="J957" s="17">
        <v>25</v>
      </c>
      <c r="K957" s="25">
        <v>42</v>
      </c>
      <c r="L957" s="25">
        <v>10</v>
      </c>
      <c r="M957" s="25">
        <v>205</v>
      </c>
      <c r="N957" s="24">
        <f>M957/L957</f>
        <v>20.5</v>
      </c>
      <c r="O957" s="23"/>
    </row>
    <row r="958" spans="1:15" s="54" customFormat="1" x14ac:dyDescent="0.2">
      <c r="A958" s="4"/>
      <c r="B958" s="34" t="s">
        <v>999</v>
      </c>
      <c r="C958" s="2" t="s">
        <v>352</v>
      </c>
      <c r="D958" s="7">
        <f>1</f>
        <v>1</v>
      </c>
      <c r="E958" s="7"/>
      <c r="F958" s="17">
        <f>1</f>
        <v>1</v>
      </c>
      <c r="G958" s="17">
        <f>0</f>
        <v>0</v>
      </c>
      <c r="H958" s="17">
        <v>0</v>
      </c>
      <c r="I958" s="16">
        <f>H958/(F958-G958)</f>
        <v>0</v>
      </c>
      <c r="J958" s="17">
        <v>0</v>
      </c>
      <c r="K958" s="25">
        <f>39</f>
        <v>39</v>
      </c>
      <c r="L958" s="25">
        <f>6</f>
        <v>6</v>
      </c>
      <c r="M958" s="25">
        <f>163</f>
        <v>163</v>
      </c>
      <c r="N958" s="24">
        <f>M958/L958</f>
        <v>27.166666666666668</v>
      </c>
      <c r="O958" s="23"/>
    </row>
    <row r="959" spans="1:15" s="54" customFormat="1" x14ac:dyDescent="0.2">
      <c r="A959" s="4">
        <v>1367591</v>
      </c>
      <c r="B959" s="35" t="s">
        <v>2150</v>
      </c>
      <c r="C959" s="2" t="s">
        <v>2151</v>
      </c>
      <c r="D959" s="7">
        <f>0+2</f>
        <v>2</v>
      </c>
      <c r="E959" s="7">
        <f>0</f>
        <v>0</v>
      </c>
      <c r="F959" s="17">
        <f>10+4</f>
        <v>14</v>
      </c>
      <c r="G959" s="17">
        <f>3+0</f>
        <v>3</v>
      </c>
      <c r="H959" s="17">
        <f>24+5</f>
        <v>29</v>
      </c>
      <c r="I959" s="16">
        <f>H959/(F959-G959)</f>
        <v>2.6363636363636362</v>
      </c>
      <c r="J959" s="17">
        <v>15</v>
      </c>
      <c r="K959" s="25">
        <f>63+29</f>
        <v>92</v>
      </c>
      <c r="L959" s="25">
        <f>20+14</f>
        <v>34</v>
      </c>
      <c r="M959" s="25">
        <f>105+106</f>
        <v>211</v>
      </c>
      <c r="N959" s="24">
        <f>M959/L959</f>
        <v>6.2058823529411766</v>
      </c>
      <c r="O959" s="49" t="s">
        <v>2277</v>
      </c>
    </row>
    <row r="960" spans="1:15" s="5" customFormat="1" x14ac:dyDescent="0.2">
      <c r="A960" s="84">
        <v>961714</v>
      </c>
      <c r="B960" s="35" t="s">
        <v>1723</v>
      </c>
      <c r="C960" s="2" t="s">
        <v>1724</v>
      </c>
      <c r="D960" s="7">
        <f>0</f>
        <v>0</v>
      </c>
      <c r="E960" s="7">
        <f>0</f>
        <v>0</v>
      </c>
      <c r="F960" s="17">
        <f>12</f>
        <v>12</v>
      </c>
      <c r="G960" s="17">
        <f>0</f>
        <v>0</v>
      </c>
      <c r="H960" s="17">
        <v>356</v>
      </c>
      <c r="I960" s="16">
        <f>H960/(F960-G960)</f>
        <v>29.666666666666668</v>
      </c>
      <c r="J960" s="17">
        <v>73</v>
      </c>
      <c r="K960" s="25">
        <f>55</f>
        <v>55</v>
      </c>
      <c r="L960" s="25">
        <f>8</f>
        <v>8</v>
      </c>
      <c r="M960" s="25">
        <f>248</f>
        <v>248</v>
      </c>
      <c r="N960" s="24">
        <f>M960/L960</f>
        <v>31</v>
      </c>
      <c r="O960" s="49" t="s">
        <v>1798</v>
      </c>
    </row>
    <row r="961" spans="1:15" s="54" customFormat="1" x14ac:dyDescent="0.2">
      <c r="A961" s="4"/>
      <c r="B961" s="35" t="s">
        <v>1000</v>
      </c>
      <c r="C961" s="2" t="s">
        <v>101</v>
      </c>
      <c r="D961" s="8">
        <v>23</v>
      </c>
      <c r="E961" s="7">
        <v>4</v>
      </c>
      <c r="F961" s="17">
        <v>43</v>
      </c>
      <c r="G961" s="17">
        <v>5</v>
      </c>
      <c r="H961" s="17">
        <v>726</v>
      </c>
      <c r="I961" s="16">
        <f>H961/(F961-G961)</f>
        <v>19.105263157894736</v>
      </c>
      <c r="J961" s="17">
        <v>76</v>
      </c>
      <c r="K961" s="25">
        <v>246.3</v>
      </c>
      <c r="L961" s="25">
        <v>42</v>
      </c>
      <c r="M961" s="25">
        <v>669</v>
      </c>
      <c r="N961" s="24">
        <f>M961/L961</f>
        <v>15.928571428571429</v>
      </c>
      <c r="O961" s="23"/>
    </row>
    <row r="962" spans="1:15" s="54" customFormat="1" x14ac:dyDescent="0.2">
      <c r="A962" s="4">
        <v>1048178</v>
      </c>
      <c r="B962" s="35" t="s">
        <v>1334</v>
      </c>
      <c r="C962" s="2"/>
      <c r="D962" s="7">
        <f>0</f>
        <v>0</v>
      </c>
      <c r="E962" s="7">
        <f>0</f>
        <v>0</v>
      </c>
      <c r="F962" s="17">
        <f>12</f>
        <v>12</v>
      </c>
      <c r="G962" s="17">
        <f>5</f>
        <v>5</v>
      </c>
      <c r="H962" s="17">
        <f>166</f>
        <v>166</v>
      </c>
      <c r="I962" s="16">
        <f>H962/(F962-G962)</f>
        <v>23.714285714285715</v>
      </c>
      <c r="J962" s="17" t="s">
        <v>430</v>
      </c>
      <c r="K962" s="25">
        <f>33</f>
        <v>33</v>
      </c>
      <c r="L962" s="25">
        <f>3</f>
        <v>3</v>
      </c>
      <c r="M962" s="25">
        <f>207</f>
        <v>207</v>
      </c>
      <c r="N962" s="24">
        <f>M962/L962</f>
        <v>69</v>
      </c>
      <c r="O962" s="49" t="s">
        <v>1379</v>
      </c>
    </row>
    <row r="963" spans="1:15" s="54" customFormat="1" x14ac:dyDescent="0.2">
      <c r="A963" s="57"/>
      <c r="B963" s="65" t="s">
        <v>2758</v>
      </c>
      <c r="C963" s="58" t="s">
        <v>2759</v>
      </c>
      <c r="D963" s="59">
        <v>1</v>
      </c>
      <c r="E963" s="59"/>
      <c r="F963" s="60">
        <v>4</v>
      </c>
      <c r="G963" s="60">
        <v>0</v>
      </c>
      <c r="H963" s="60">
        <v>12</v>
      </c>
      <c r="I963" s="61">
        <f>H963/(F963-G963)</f>
        <v>3</v>
      </c>
      <c r="J963" s="60">
        <v>10</v>
      </c>
      <c r="K963" s="62">
        <v>43</v>
      </c>
      <c r="L963" s="62">
        <v>9</v>
      </c>
      <c r="M963" s="62">
        <v>163</v>
      </c>
      <c r="N963" s="63">
        <f>M963/L963</f>
        <v>18.111111111111111</v>
      </c>
      <c r="O963" s="66" t="s">
        <v>1497</v>
      </c>
    </row>
    <row r="964" spans="1:15" s="5" customFormat="1" x14ac:dyDescent="0.2">
      <c r="A964" s="4">
        <v>1945254</v>
      </c>
      <c r="B964" s="35" t="s">
        <v>2376</v>
      </c>
      <c r="C964" s="2" t="s">
        <v>1730</v>
      </c>
      <c r="D964" s="7">
        <f>6+3</f>
        <v>9</v>
      </c>
      <c r="E964" s="7">
        <f>0+0</f>
        <v>0</v>
      </c>
      <c r="F964" s="17">
        <f>13+8</f>
        <v>21</v>
      </c>
      <c r="G964" s="17">
        <f>1+0</f>
        <v>1</v>
      </c>
      <c r="H964" s="17">
        <f>197+106</f>
        <v>303</v>
      </c>
      <c r="I964" s="16">
        <f>H964/(F964-G964)</f>
        <v>15.15</v>
      </c>
      <c r="J964" s="17">
        <v>56</v>
      </c>
      <c r="K964" s="25">
        <f>4+1</f>
        <v>5</v>
      </c>
      <c r="L964" s="25">
        <f>0+0</f>
        <v>0</v>
      </c>
      <c r="M964" s="25">
        <f>27+5</f>
        <v>32</v>
      </c>
      <c r="N964" s="24" t="e">
        <f>M964/L964</f>
        <v>#DIV/0!</v>
      </c>
      <c r="O964" s="49" t="s">
        <v>1624</v>
      </c>
    </row>
    <row r="965" spans="1:15" s="5" customFormat="1" x14ac:dyDescent="0.2">
      <c r="A965" s="84">
        <v>850760</v>
      </c>
      <c r="B965" s="35" t="s">
        <v>1926</v>
      </c>
      <c r="C965" s="2" t="s">
        <v>1927</v>
      </c>
      <c r="D965" s="7">
        <f>3+1</f>
        <v>4</v>
      </c>
      <c r="E965" s="7">
        <f>0</f>
        <v>0</v>
      </c>
      <c r="F965" s="17">
        <f>7+7</f>
        <v>14</v>
      </c>
      <c r="G965" s="17">
        <f>0+1</f>
        <v>1</v>
      </c>
      <c r="H965" s="17">
        <f>156+82</f>
        <v>238</v>
      </c>
      <c r="I965" s="16">
        <f>H965/(F965-G965)</f>
        <v>18.307692307692307</v>
      </c>
      <c r="J965" s="17">
        <v>44</v>
      </c>
      <c r="K965" s="25">
        <f>28.5+11</f>
        <v>39.5</v>
      </c>
      <c r="L965" s="25">
        <f>10+0</f>
        <v>10</v>
      </c>
      <c r="M965" s="25">
        <f>118+27</f>
        <v>145</v>
      </c>
      <c r="N965" s="24">
        <f>M965/L965</f>
        <v>14.5</v>
      </c>
      <c r="O965" s="49" t="s">
        <v>2020</v>
      </c>
    </row>
    <row r="966" spans="1:15" s="54" customFormat="1" x14ac:dyDescent="0.2">
      <c r="A966" s="84">
        <v>1850157</v>
      </c>
      <c r="B966" s="35" t="s">
        <v>1928</v>
      </c>
      <c r="C966" s="2" t="s">
        <v>1929</v>
      </c>
      <c r="D966" s="7">
        <f>0+0+0</f>
        <v>0</v>
      </c>
      <c r="E966" s="7">
        <f>0</f>
        <v>0</v>
      </c>
      <c r="F966" s="17">
        <f>1+3+7</f>
        <v>11</v>
      </c>
      <c r="G966" s="17">
        <f>1+0+0</f>
        <v>1</v>
      </c>
      <c r="H966" s="17">
        <f>20+24+28</f>
        <v>72</v>
      </c>
      <c r="I966" s="16">
        <f>H966/(F966-G966)</f>
        <v>7.2</v>
      </c>
      <c r="J966" s="17" t="s">
        <v>274</v>
      </c>
      <c r="K966" s="25">
        <f>4+3+28.4</f>
        <v>35.4</v>
      </c>
      <c r="L966" s="25">
        <f>2+0+6</f>
        <v>8</v>
      </c>
      <c r="M966" s="25">
        <f>20+12+82</f>
        <v>114</v>
      </c>
      <c r="N966" s="24">
        <f>M966/L966</f>
        <v>14.25</v>
      </c>
      <c r="O966" s="49" t="s">
        <v>2018</v>
      </c>
    </row>
    <row r="967" spans="1:15" s="5" customFormat="1" x14ac:dyDescent="0.2">
      <c r="A967" s="84">
        <v>1292664</v>
      </c>
      <c r="B967" s="35" t="s">
        <v>1725</v>
      </c>
      <c r="C967" s="2" t="s">
        <v>1726</v>
      </c>
      <c r="D967" s="7">
        <f>2+3+2</f>
        <v>7</v>
      </c>
      <c r="E967" s="7">
        <f>0+0</f>
        <v>0</v>
      </c>
      <c r="F967" s="17">
        <f>12+16+11</f>
        <v>39</v>
      </c>
      <c r="G967" s="17">
        <f>0+5+3</f>
        <v>8</v>
      </c>
      <c r="H967" s="17">
        <f>358+394+119</f>
        <v>871</v>
      </c>
      <c r="I967" s="16">
        <f>H967/(F967-G967)</f>
        <v>28.096774193548388</v>
      </c>
      <c r="J967" s="17" t="s">
        <v>293</v>
      </c>
      <c r="K967" s="25">
        <f>2+11.2+4</f>
        <v>17.2</v>
      </c>
      <c r="L967" s="25">
        <f>0+4+1</f>
        <v>5</v>
      </c>
      <c r="M967" s="25">
        <f>6+21+26</f>
        <v>53</v>
      </c>
      <c r="N967" s="24">
        <f>M967/L967</f>
        <v>10.6</v>
      </c>
      <c r="O967" s="49" t="s">
        <v>2023</v>
      </c>
    </row>
    <row r="968" spans="1:15" s="54" customFormat="1" x14ac:dyDescent="0.2">
      <c r="A968" s="84">
        <v>1608095</v>
      </c>
      <c r="B968" s="35" t="s">
        <v>1727</v>
      </c>
      <c r="C968" s="2" t="s">
        <v>1728</v>
      </c>
      <c r="D968" s="7">
        <f>3+0+0</f>
        <v>3</v>
      </c>
      <c r="E968" s="7">
        <f>0+0</f>
        <v>0</v>
      </c>
      <c r="F968" s="17">
        <f>8+3+1</f>
        <v>12</v>
      </c>
      <c r="G968" s="17">
        <f>4+0+0</f>
        <v>4</v>
      </c>
      <c r="H968" s="17">
        <f>31+38+0</f>
        <v>69</v>
      </c>
      <c r="I968" s="16">
        <f>H968/(F968-G968)</f>
        <v>8.625</v>
      </c>
      <c r="J968" s="17">
        <v>32</v>
      </c>
      <c r="K968" s="25">
        <f>89.5+59.5+(0.4)+3</f>
        <v>152.4</v>
      </c>
      <c r="L968" s="25">
        <f>12+12+0</f>
        <v>24</v>
      </c>
      <c r="M968" s="25">
        <f>239+155+12</f>
        <v>406</v>
      </c>
      <c r="N968" s="24">
        <f>M968/L968</f>
        <v>16.916666666666668</v>
      </c>
      <c r="O968" s="49" t="s">
        <v>1627</v>
      </c>
    </row>
    <row r="969" spans="1:15" s="54" customFormat="1" x14ac:dyDescent="0.2">
      <c r="A969" s="57"/>
      <c r="B969" s="67" t="s">
        <v>2670</v>
      </c>
      <c r="C969" s="58" t="s">
        <v>2671</v>
      </c>
      <c r="D969" s="59">
        <v>3</v>
      </c>
      <c r="E969" s="59"/>
      <c r="F969" s="60">
        <v>7</v>
      </c>
      <c r="G969" s="60">
        <v>0</v>
      </c>
      <c r="H969" s="60">
        <v>21</v>
      </c>
      <c r="I969" s="61">
        <f>H969/(F969-G969)</f>
        <v>3</v>
      </c>
      <c r="J969" s="60">
        <v>7</v>
      </c>
      <c r="K969" s="62"/>
      <c r="L969" s="62"/>
      <c r="M969" s="62"/>
      <c r="N969" s="63" t="e">
        <f>M969/L969</f>
        <v>#DIV/0!</v>
      </c>
      <c r="O969" s="81"/>
    </row>
    <row r="970" spans="1:15" s="54" customFormat="1" x14ac:dyDescent="0.2">
      <c r="A970" s="4"/>
      <c r="B970" s="35" t="s">
        <v>1001</v>
      </c>
      <c r="C970" s="2" t="s">
        <v>188</v>
      </c>
      <c r="D970" s="8">
        <f>4+1+6</f>
        <v>11</v>
      </c>
      <c r="E970" s="7"/>
      <c r="F970" s="17">
        <f>11+1+12</f>
        <v>24</v>
      </c>
      <c r="G970" s="17">
        <f>2+0</f>
        <v>2</v>
      </c>
      <c r="H970" s="17">
        <f>146+187</f>
        <v>333</v>
      </c>
      <c r="I970" s="16">
        <f>H970/(F970-G970)</f>
        <v>15.136363636363637</v>
      </c>
      <c r="J970" s="17" t="s">
        <v>440</v>
      </c>
      <c r="K970" s="25">
        <f>65+8+67</f>
        <v>140</v>
      </c>
      <c r="L970" s="25">
        <f>8+1+7</f>
        <v>16</v>
      </c>
      <c r="M970" s="25">
        <f>174+18+148</f>
        <v>340</v>
      </c>
      <c r="N970" s="24">
        <f>M970/L970</f>
        <v>21.25</v>
      </c>
      <c r="O970" s="23"/>
    </row>
    <row r="971" spans="1:15" s="54" customFormat="1" x14ac:dyDescent="0.2">
      <c r="A971" s="4">
        <v>969574</v>
      </c>
      <c r="B971" s="35" t="s">
        <v>1309</v>
      </c>
      <c r="C971" s="2"/>
      <c r="D971" s="7">
        <f>1+0</f>
        <v>1</v>
      </c>
      <c r="E971" s="7">
        <f>0</f>
        <v>0</v>
      </c>
      <c r="F971" s="17">
        <f>14+4</f>
        <v>18</v>
      </c>
      <c r="G971" s="17">
        <f>2+0</f>
        <v>2</v>
      </c>
      <c r="H971" s="17">
        <f>223+60</f>
        <v>283</v>
      </c>
      <c r="I971" s="16">
        <f>H971/(F971-G971)</f>
        <v>17.6875</v>
      </c>
      <c r="J971" s="17">
        <v>56</v>
      </c>
      <c r="K971" s="25">
        <f>74.3+42</f>
        <v>116.3</v>
      </c>
      <c r="L971" s="25">
        <f>25+3</f>
        <v>28</v>
      </c>
      <c r="M971" s="25">
        <f>349+223</f>
        <v>572</v>
      </c>
      <c r="N971" s="24">
        <f>M971/L971</f>
        <v>20.428571428571427</v>
      </c>
      <c r="O971" s="49" t="s">
        <v>1380</v>
      </c>
    </row>
    <row r="972" spans="1:15" s="54" customFormat="1" x14ac:dyDescent="0.2">
      <c r="A972" s="4">
        <v>1048264</v>
      </c>
      <c r="B972" s="35" t="s">
        <v>1320</v>
      </c>
      <c r="C972" s="2"/>
      <c r="D972" s="7">
        <f>2+0</f>
        <v>2</v>
      </c>
      <c r="E972" s="7">
        <f>0</f>
        <v>0</v>
      </c>
      <c r="F972" s="17">
        <f>14+2</f>
        <v>16</v>
      </c>
      <c r="G972" s="17">
        <f>2+0</f>
        <v>2</v>
      </c>
      <c r="H972" s="17">
        <f>80+1</f>
        <v>81</v>
      </c>
      <c r="I972" s="16">
        <f>H972/(F972-G972)</f>
        <v>5.7857142857142856</v>
      </c>
      <c r="J972" s="17">
        <v>28</v>
      </c>
      <c r="K972" s="25">
        <f>3</f>
        <v>3</v>
      </c>
      <c r="L972" s="25">
        <f>0</f>
        <v>0</v>
      </c>
      <c r="M972" s="25">
        <f>16</f>
        <v>16</v>
      </c>
      <c r="N972" s="24" t="e">
        <f>M972/L972</f>
        <v>#DIV/0!</v>
      </c>
      <c r="O972" s="49" t="s">
        <v>1381</v>
      </c>
    </row>
    <row r="973" spans="1:15" s="6" customFormat="1" x14ac:dyDescent="0.2">
      <c r="A973" s="4"/>
      <c r="B973" s="34" t="s">
        <v>1002</v>
      </c>
      <c r="C973" s="2" t="s">
        <v>231</v>
      </c>
      <c r="D973" s="7">
        <f>2+2</f>
        <v>4</v>
      </c>
      <c r="E973" s="7"/>
      <c r="F973" s="17">
        <f>11+10</f>
        <v>21</v>
      </c>
      <c r="G973" s="17">
        <f>1+1</f>
        <v>2</v>
      </c>
      <c r="H973" s="17">
        <f>82+43</f>
        <v>125</v>
      </c>
      <c r="I973" s="16">
        <f>H973/(F973-G973)</f>
        <v>6.5789473684210522</v>
      </c>
      <c r="J973" s="17">
        <v>28</v>
      </c>
      <c r="K973" s="25">
        <f>17+5</f>
        <v>22</v>
      </c>
      <c r="L973" s="25">
        <f>3+0</f>
        <v>3</v>
      </c>
      <c r="M973" s="25">
        <f>78+25</f>
        <v>103</v>
      </c>
      <c r="N973" s="24">
        <f>M973/L973</f>
        <v>34.333333333333336</v>
      </c>
      <c r="O973" s="23"/>
    </row>
    <row r="974" spans="1:15" s="54" customFormat="1" x14ac:dyDescent="0.2">
      <c r="A974" s="64">
        <v>659861</v>
      </c>
      <c r="B974" s="65" t="s">
        <v>1729</v>
      </c>
      <c r="C974" s="58" t="s">
        <v>1730</v>
      </c>
      <c r="D974" s="59">
        <f>0+0+0+3</f>
        <v>3</v>
      </c>
      <c r="E974" s="59">
        <f>0+0</f>
        <v>0</v>
      </c>
      <c r="F974" s="60">
        <f>14+17+9+10</f>
        <v>50</v>
      </c>
      <c r="G974" s="60">
        <f>0+3+2</f>
        <v>5</v>
      </c>
      <c r="H974" s="60">
        <f>220+273+128+204</f>
        <v>825</v>
      </c>
      <c r="I974" s="61">
        <f>H974/(F974-G974)</f>
        <v>18.333333333333332</v>
      </c>
      <c r="J974" s="60">
        <v>111</v>
      </c>
      <c r="K974" s="62">
        <f>18+1+14+77</f>
        <v>110</v>
      </c>
      <c r="L974" s="62">
        <f>2+0+1+10</f>
        <v>13</v>
      </c>
      <c r="M974" s="62">
        <f>76+12+48+259</f>
        <v>395</v>
      </c>
      <c r="N974" s="63">
        <f>M974/L974</f>
        <v>30.384615384615383</v>
      </c>
      <c r="O974" s="66" t="s">
        <v>2715</v>
      </c>
    </row>
    <row r="975" spans="1:15" s="5" customFormat="1" x14ac:dyDescent="0.2">
      <c r="A975" s="4"/>
      <c r="B975" s="35" t="s">
        <v>1004</v>
      </c>
      <c r="C975" s="2" t="s">
        <v>16</v>
      </c>
      <c r="D975" s="7">
        <f>5+8</f>
        <v>13</v>
      </c>
      <c r="E975" s="7"/>
      <c r="F975" s="17">
        <f>19+14+1</f>
        <v>34</v>
      </c>
      <c r="G975" s="17">
        <v>2</v>
      </c>
      <c r="H975" s="17">
        <f>183+241+23</f>
        <v>447</v>
      </c>
      <c r="I975" s="16">
        <f>H975/(F975-G975)</f>
        <v>13.96875</v>
      </c>
      <c r="J975" s="17">
        <v>77</v>
      </c>
      <c r="K975" s="25">
        <f>153+111+10</f>
        <v>274</v>
      </c>
      <c r="L975" s="25">
        <f>52+38+2</f>
        <v>92</v>
      </c>
      <c r="M975" s="25">
        <f>236+235+21</f>
        <v>492</v>
      </c>
      <c r="N975" s="24">
        <f>M975/L975</f>
        <v>5.3478260869565215</v>
      </c>
      <c r="O975" s="23"/>
    </row>
    <row r="976" spans="1:15" s="54" customFormat="1" x14ac:dyDescent="0.2">
      <c r="A976" s="4"/>
      <c r="B976" s="2" t="s">
        <v>1003</v>
      </c>
      <c r="C976" s="2" t="s">
        <v>9</v>
      </c>
      <c r="D976" s="7">
        <f>6+2+2+1</f>
        <v>11</v>
      </c>
      <c r="E976" s="7"/>
      <c r="F976" s="17">
        <f>9+2+10+2+2</f>
        <v>25</v>
      </c>
      <c r="G976" s="17">
        <f>2+1+1</f>
        <v>4</v>
      </c>
      <c r="H976" s="17">
        <f>130+43+128+26</f>
        <v>327</v>
      </c>
      <c r="I976" s="16">
        <f>H976/(F976-G976)</f>
        <v>15.571428571428571</v>
      </c>
      <c r="J976" s="17" t="s">
        <v>432</v>
      </c>
      <c r="K976" s="25">
        <f>75+17+84+9+16</f>
        <v>201</v>
      </c>
      <c r="L976" s="25">
        <f>12+17+3+3</f>
        <v>35</v>
      </c>
      <c r="M976" s="25">
        <f>255+42+285+12+60</f>
        <v>654</v>
      </c>
      <c r="N976" s="24">
        <f>M976/L976</f>
        <v>18.685714285714287</v>
      </c>
      <c r="O976" s="23"/>
    </row>
    <row r="977" spans="1:15" s="6" customFormat="1" x14ac:dyDescent="0.2">
      <c r="A977" s="57">
        <v>2246492</v>
      </c>
      <c r="B977" s="58" t="s">
        <v>2576</v>
      </c>
      <c r="C977" s="58" t="s">
        <v>2577</v>
      </c>
      <c r="D977" s="59">
        <v>0</v>
      </c>
      <c r="E977" s="59">
        <v>0</v>
      </c>
      <c r="F977" s="60">
        <f>7+13</f>
        <v>20</v>
      </c>
      <c r="G977" s="60">
        <f>1</f>
        <v>1</v>
      </c>
      <c r="H977" s="60">
        <f>7+139</f>
        <v>146</v>
      </c>
      <c r="I977" s="61">
        <f>H977/(F977-G977)</f>
        <v>7.6842105263157894</v>
      </c>
      <c r="J977" s="60">
        <v>59</v>
      </c>
      <c r="K977" s="62">
        <f>13+23</f>
        <v>36</v>
      </c>
      <c r="L977" s="62">
        <f>3+6</f>
        <v>9</v>
      </c>
      <c r="M977" s="62">
        <f>42+125</f>
        <v>167</v>
      </c>
      <c r="N977" s="63">
        <f>M977/L977</f>
        <v>18.555555555555557</v>
      </c>
      <c r="O977" s="66" t="s">
        <v>2029</v>
      </c>
    </row>
    <row r="978" spans="1:15" s="54" customFormat="1" x14ac:dyDescent="0.2">
      <c r="A978" s="4"/>
      <c r="B978" s="2" t="s">
        <v>1005</v>
      </c>
      <c r="C978" s="2" t="s">
        <v>97</v>
      </c>
      <c r="D978" s="7">
        <v>18</v>
      </c>
      <c r="E978" s="7"/>
      <c r="F978" s="17">
        <v>35</v>
      </c>
      <c r="G978" s="17">
        <v>3</v>
      </c>
      <c r="H978" s="17">
        <v>456</v>
      </c>
      <c r="I978" s="16">
        <f>H978/(F978-G978)</f>
        <v>14.25</v>
      </c>
      <c r="J978" s="17">
        <v>50</v>
      </c>
      <c r="K978" s="25">
        <v>184</v>
      </c>
      <c r="L978" s="25">
        <v>22</v>
      </c>
      <c r="M978" s="25">
        <v>672</v>
      </c>
      <c r="N978" s="24">
        <f>M978/L978</f>
        <v>30.545454545454547</v>
      </c>
      <c r="O978" s="23"/>
    </row>
    <row r="979" spans="1:15" s="54" customFormat="1" x14ac:dyDescent="0.2">
      <c r="A979" s="4"/>
      <c r="B979" s="2" t="s">
        <v>1006</v>
      </c>
      <c r="C979" s="2" t="s">
        <v>55</v>
      </c>
      <c r="D979" s="8">
        <v>68</v>
      </c>
      <c r="E979" s="7">
        <v>2</v>
      </c>
      <c r="F979" s="17">
        <f>10+11+13+12+11+10+9</f>
        <v>76</v>
      </c>
      <c r="G979" s="17">
        <f>6+2+3+0+4+1+2</f>
        <v>18</v>
      </c>
      <c r="H979" s="17">
        <f>108+110+185+193+153+62+135</f>
        <v>946</v>
      </c>
      <c r="I979" s="16">
        <f>H979/(F979-G979)</f>
        <v>16.310344827586206</v>
      </c>
      <c r="J979" s="17" t="s">
        <v>354</v>
      </c>
      <c r="K979" s="25">
        <f>8+11+35+20+15+6</f>
        <v>95</v>
      </c>
      <c r="L979" s="25">
        <f>3+8+2+1+1</f>
        <v>15</v>
      </c>
      <c r="M979" s="25">
        <f>38+46+101+102+66+37</f>
        <v>390</v>
      </c>
      <c r="N979" s="24">
        <f>M979/L979</f>
        <v>26</v>
      </c>
      <c r="O979" s="23"/>
    </row>
    <row r="980" spans="1:15" s="54" customFormat="1" x14ac:dyDescent="0.2">
      <c r="A980" s="84">
        <v>1851198</v>
      </c>
      <c r="B980" s="2" t="s">
        <v>1930</v>
      </c>
      <c r="C980" s="2" t="s">
        <v>1931</v>
      </c>
      <c r="D980" s="7">
        <f>1+1</f>
        <v>2</v>
      </c>
      <c r="E980" s="7">
        <f>0</f>
        <v>0</v>
      </c>
      <c r="F980" s="17">
        <f>1+4</f>
        <v>5</v>
      </c>
      <c r="G980" s="17">
        <f>0+1</f>
        <v>1</v>
      </c>
      <c r="H980" s="17">
        <f>6+36</f>
        <v>42</v>
      </c>
      <c r="I980" s="16">
        <f>H980/(F980-G980)</f>
        <v>10.5</v>
      </c>
      <c r="J980" s="17" t="s">
        <v>274</v>
      </c>
      <c r="K980" s="25">
        <f>8+17</f>
        <v>25</v>
      </c>
      <c r="L980" s="25">
        <f>1+1</f>
        <v>2</v>
      </c>
      <c r="M980" s="25">
        <f>37+81</f>
        <v>118</v>
      </c>
      <c r="N980" s="24">
        <f>M980/L980</f>
        <v>59</v>
      </c>
      <c r="O980" s="49" t="s">
        <v>1509</v>
      </c>
    </row>
    <row r="981" spans="1:15" s="54" customFormat="1" x14ac:dyDescent="0.2">
      <c r="A981" s="4"/>
      <c r="B981" s="4" t="s">
        <v>1007</v>
      </c>
      <c r="C981" s="2" t="s">
        <v>314</v>
      </c>
      <c r="D981" s="7">
        <f>1</f>
        <v>1</v>
      </c>
      <c r="E981" s="7"/>
      <c r="F981" s="17">
        <f>9</f>
        <v>9</v>
      </c>
      <c r="G981" s="17">
        <f>0</f>
        <v>0</v>
      </c>
      <c r="H981" s="17">
        <f>93</f>
        <v>93</v>
      </c>
      <c r="I981" s="16">
        <f>H981/(F981-G981)</f>
        <v>10.333333333333334</v>
      </c>
      <c r="J981" s="17">
        <v>37</v>
      </c>
      <c r="K981" s="25">
        <f>13</f>
        <v>13</v>
      </c>
      <c r="L981" s="25">
        <f>5</f>
        <v>5</v>
      </c>
      <c r="M981" s="25">
        <f>51</f>
        <v>51</v>
      </c>
      <c r="N981" s="24">
        <f>M981/L981</f>
        <v>10.199999999999999</v>
      </c>
      <c r="O981" s="23"/>
    </row>
    <row r="982" spans="1:15" s="54" customFormat="1" x14ac:dyDescent="0.2">
      <c r="A982" s="4"/>
      <c r="B982" s="2" t="s">
        <v>1008</v>
      </c>
      <c r="C982" s="2" t="s">
        <v>10</v>
      </c>
      <c r="D982" s="7">
        <v>3</v>
      </c>
      <c r="E982" s="7"/>
      <c r="F982" s="17">
        <v>10</v>
      </c>
      <c r="G982" s="17">
        <v>1</v>
      </c>
      <c r="H982" s="17">
        <v>7</v>
      </c>
      <c r="I982" s="16">
        <f>H982/(F982-G982)</f>
        <v>0.77777777777777779</v>
      </c>
      <c r="J982" s="17">
        <v>3</v>
      </c>
      <c r="K982" s="25"/>
      <c r="L982" s="25"/>
      <c r="M982" s="25"/>
      <c r="N982" s="24" t="e">
        <f>M982/L982</f>
        <v>#DIV/0!</v>
      </c>
      <c r="O982" s="23"/>
    </row>
    <row r="983" spans="1:15" s="54" customFormat="1" x14ac:dyDescent="0.2">
      <c r="A983" s="4"/>
      <c r="B983" s="2" t="s">
        <v>1009</v>
      </c>
      <c r="C983" s="2" t="s">
        <v>11</v>
      </c>
      <c r="D983" s="7">
        <f>2+4</f>
        <v>6</v>
      </c>
      <c r="E983" s="7"/>
      <c r="F983" s="17">
        <f>9+6</f>
        <v>15</v>
      </c>
      <c r="G983" s="17">
        <f>1+1</f>
        <v>2</v>
      </c>
      <c r="H983" s="17">
        <f>88+37</f>
        <v>125</v>
      </c>
      <c r="I983" s="16">
        <f>H983/(F983-G983)</f>
        <v>9.615384615384615</v>
      </c>
      <c r="J983" s="17" t="s">
        <v>320</v>
      </c>
      <c r="K983" s="25">
        <f>11+12</f>
        <v>23</v>
      </c>
      <c r="L983" s="25">
        <f>3+3</f>
        <v>6</v>
      </c>
      <c r="M983" s="25">
        <f>33+27</f>
        <v>60</v>
      </c>
      <c r="N983" s="24">
        <f>M983/L983</f>
        <v>10</v>
      </c>
      <c r="O983" s="23"/>
    </row>
    <row r="984" spans="1:15" x14ac:dyDescent="0.2">
      <c r="A984" s="4"/>
      <c r="B984" s="2" t="s">
        <v>1011</v>
      </c>
      <c r="C984" s="2" t="s">
        <v>98</v>
      </c>
      <c r="D984" s="7">
        <f>5+3+7+6</f>
        <v>21</v>
      </c>
      <c r="E984" s="7"/>
      <c r="F984" s="17">
        <f>13+9+12+7</f>
        <v>41</v>
      </c>
      <c r="G984" s="17">
        <f>2+1+2+0</f>
        <v>5</v>
      </c>
      <c r="H984" s="17">
        <f>42+24+79+38</f>
        <v>183</v>
      </c>
      <c r="I984" s="16">
        <f>H984/(F984-G984)</f>
        <v>5.083333333333333</v>
      </c>
      <c r="J984" s="17">
        <v>30</v>
      </c>
      <c r="K984" s="25">
        <f>19+24+14+8</f>
        <v>65</v>
      </c>
      <c r="L984" s="25">
        <f>3+5+3+1</f>
        <v>12</v>
      </c>
      <c r="M984" s="25">
        <f>116+78+71+69</f>
        <v>334</v>
      </c>
      <c r="N984" s="24">
        <f>M984/L984</f>
        <v>27.833333333333332</v>
      </c>
      <c r="O984" s="23"/>
    </row>
    <row r="985" spans="1:15" s="6" customFormat="1" x14ac:dyDescent="0.2">
      <c r="A985" s="4"/>
      <c r="B985" s="2" t="s">
        <v>1010</v>
      </c>
      <c r="C985" s="2" t="s">
        <v>13</v>
      </c>
      <c r="D985" s="7">
        <v>8</v>
      </c>
      <c r="E985" s="7"/>
      <c r="F985" s="17">
        <v>9</v>
      </c>
      <c r="G985" s="17">
        <v>3</v>
      </c>
      <c r="H985" s="17">
        <v>31</v>
      </c>
      <c r="I985" s="16">
        <f>H985/(F985-G985)</f>
        <v>5.166666666666667</v>
      </c>
      <c r="J985" s="17">
        <v>10</v>
      </c>
      <c r="K985" s="25">
        <v>7</v>
      </c>
      <c r="L985" s="25">
        <v>4</v>
      </c>
      <c r="M985" s="25">
        <v>24</v>
      </c>
      <c r="N985" s="24">
        <f>M985/L985</f>
        <v>6</v>
      </c>
      <c r="O985" s="23"/>
    </row>
    <row r="986" spans="1:15" s="6" customFormat="1" x14ac:dyDescent="0.2">
      <c r="A986" s="4"/>
      <c r="B986" s="2" t="s">
        <v>1012</v>
      </c>
      <c r="C986" s="2" t="s">
        <v>340</v>
      </c>
      <c r="D986" s="7">
        <f>9+7+6+7+1+7+4+5+8+6+2+2</f>
        <v>64</v>
      </c>
      <c r="E986" s="7"/>
      <c r="F986" s="17">
        <f>40+15+13+14+17+3+11+13+1+10+10+10+12+3</f>
        <v>172</v>
      </c>
      <c r="G986" s="17">
        <f>5+1+1+1+2+1+3+1+0+2+0</f>
        <v>17</v>
      </c>
      <c r="H986" s="17">
        <f>347+328+239+297+255+91+230+227+4+380+266+531+427+58</f>
        <v>3680</v>
      </c>
      <c r="I986" s="16">
        <f>H986/(F986-G986)</f>
        <v>23.741935483870968</v>
      </c>
      <c r="J986" s="17">
        <v>136</v>
      </c>
      <c r="K986" s="25">
        <f>304+98+121+178+56+91+120+21+2+31+5</f>
        <v>1027</v>
      </c>
      <c r="L986" s="25">
        <f>38+30+34+38+6+20+19+5+0+2+0</f>
        <v>192</v>
      </c>
      <c r="M986" s="25">
        <f>777+255+216+501+166+274+571+98+25+143+39</f>
        <v>3065</v>
      </c>
      <c r="N986" s="24">
        <f>M986/L986</f>
        <v>15.963541666666666</v>
      </c>
      <c r="O986" s="23"/>
    </row>
    <row r="987" spans="1:15" s="54" customFormat="1" x14ac:dyDescent="0.2">
      <c r="A987" s="4"/>
      <c r="B987" s="2" t="s">
        <v>1013</v>
      </c>
      <c r="C987" s="2" t="s">
        <v>67</v>
      </c>
      <c r="D987" s="7">
        <v>44</v>
      </c>
      <c r="E987" s="7"/>
      <c r="F987" s="17">
        <v>124</v>
      </c>
      <c r="G987" s="17">
        <v>14</v>
      </c>
      <c r="H987" s="17">
        <v>1937</v>
      </c>
      <c r="I987" s="16">
        <f>H987/(F987-G987)</f>
        <v>17.609090909090909</v>
      </c>
      <c r="J987" s="17">
        <v>145</v>
      </c>
      <c r="K987" s="25">
        <v>1172</v>
      </c>
      <c r="L987" s="25">
        <v>202</v>
      </c>
      <c r="M987" s="25">
        <v>4239</v>
      </c>
      <c r="N987" s="24">
        <f>M987/L987</f>
        <v>20.985148514851485</v>
      </c>
      <c r="O987" s="23"/>
    </row>
    <row r="988" spans="1:15" s="54" customFormat="1" x14ac:dyDescent="0.2">
      <c r="A988" s="4"/>
      <c r="B988" s="2" t="s">
        <v>1014</v>
      </c>
      <c r="C988" s="2" t="s">
        <v>59</v>
      </c>
      <c r="D988" s="7">
        <v>12</v>
      </c>
      <c r="E988" s="7"/>
      <c r="F988" s="17">
        <v>34</v>
      </c>
      <c r="G988" s="17">
        <v>10</v>
      </c>
      <c r="H988" s="17">
        <v>304</v>
      </c>
      <c r="I988" s="16">
        <f>H988/(F988-G988)</f>
        <v>12.666666666666666</v>
      </c>
      <c r="J988" s="17">
        <v>22</v>
      </c>
      <c r="K988" s="25">
        <v>238.2</v>
      </c>
      <c r="L988" s="25">
        <v>49</v>
      </c>
      <c r="M988" s="25">
        <v>888</v>
      </c>
      <c r="N988" s="24">
        <f>M988/L988</f>
        <v>18.122448979591837</v>
      </c>
      <c r="O988" s="23"/>
    </row>
    <row r="989" spans="1:15" s="54" customFormat="1" x14ac:dyDescent="0.2">
      <c r="A989" s="4">
        <v>966610</v>
      </c>
      <c r="B989" s="2" t="s">
        <v>2152</v>
      </c>
      <c r="C989" s="2" t="s">
        <v>2153</v>
      </c>
      <c r="D989" s="7">
        <f>0</f>
        <v>0</v>
      </c>
      <c r="E989" s="7"/>
      <c r="F989" s="17">
        <f>1</f>
        <v>1</v>
      </c>
      <c r="G989" s="17">
        <f>0</f>
        <v>0</v>
      </c>
      <c r="H989" s="17">
        <f>1</f>
        <v>1</v>
      </c>
      <c r="I989" s="16">
        <f>H989/(F989-G989)</f>
        <v>1</v>
      </c>
      <c r="J989" s="17">
        <v>1</v>
      </c>
      <c r="K989" s="25"/>
      <c r="L989" s="25"/>
      <c r="M989" s="25"/>
      <c r="N989" s="24" t="e">
        <f>M989/L989</f>
        <v>#DIV/0!</v>
      </c>
      <c r="O989" s="23"/>
    </row>
    <row r="990" spans="1:15" s="54" customFormat="1" x14ac:dyDescent="0.2">
      <c r="A990" s="4"/>
      <c r="B990" s="2" t="s">
        <v>1015</v>
      </c>
      <c r="C990" s="2" t="s">
        <v>13</v>
      </c>
      <c r="D990" s="7"/>
      <c r="E990" s="7"/>
      <c r="F990" s="17">
        <v>2</v>
      </c>
      <c r="G990" s="17">
        <v>0</v>
      </c>
      <c r="H990" s="17">
        <v>23</v>
      </c>
      <c r="I990" s="16">
        <f>H990/(F990-G990)</f>
        <v>11.5</v>
      </c>
      <c r="J990" s="17">
        <v>23</v>
      </c>
      <c r="K990" s="25">
        <v>10</v>
      </c>
      <c r="L990" s="25">
        <v>3</v>
      </c>
      <c r="M990" s="25">
        <v>36</v>
      </c>
      <c r="N990" s="24">
        <f>M990/L990</f>
        <v>12</v>
      </c>
      <c r="O990" s="23"/>
    </row>
    <row r="991" spans="1:15" s="6" customFormat="1" x14ac:dyDescent="0.2">
      <c r="A991" s="4"/>
      <c r="B991" s="2" t="s">
        <v>1016</v>
      </c>
      <c r="C991" s="2" t="s">
        <v>79</v>
      </c>
      <c r="D991" s="7">
        <v>42</v>
      </c>
      <c r="E991" s="7"/>
      <c r="F991" s="17">
        <v>77</v>
      </c>
      <c r="G991" s="17">
        <v>17</v>
      </c>
      <c r="H991" s="17">
        <v>493</v>
      </c>
      <c r="I991" s="16">
        <f>H991/(F991-G991)</f>
        <v>8.2166666666666668</v>
      </c>
      <c r="J991" s="17">
        <v>48</v>
      </c>
      <c r="K991" s="25">
        <v>12</v>
      </c>
      <c r="L991" s="25">
        <v>3</v>
      </c>
      <c r="M991" s="25">
        <v>41</v>
      </c>
      <c r="N991" s="24">
        <f>M991/L991</f>
        <v>13.666666666666666</v>
      </c>
      <c r="O991" s="23"/>
    </row>
    <row r="992" spans="1:15" s="6" customFormat="1" x14ac:dyDescent="0.2">
      <c r="A992" s="4"/>
      <c r="B992" s="2" t="s">
        <v>1017</v>
      </c>
      <c r="C992" s="2" t="s">
        <v>97</v>
      </c>
      <c r="D992" s="8">
        <v>129</v>
      </c>
      <c r="E992" s="7">
        <v>15</v>
      </c>
      <c r="F992" s="17">
        <f>146+2+7+7+11+1+1+9+10+6+2+12</f>
        <v>214</v>
      </c>
      <c r="G992" s="17">
        <f>22+1+3+1+2+1+1+1+1+2</f>
        <v>35</v>
      </c>
      <c r="H992" s="17">
        <f>2311+1+291+90+254+8+2+172+191+88+43+250</f>
        <v>3701</v>
      </c>
      <c r="I992" s="16">
        <f>H992/(F992-G992)</f>
        <v>20.675977653631286</v>
      </c>
      <c r="J992" s="17" t="s">
        <v>441</v>
      </c>
      <c r="K992" s="25">
        <f>136+14+5+5.1+6+47</f>
        <v>213.1</v>
      </c>
      <c r="L992" s="25">
        <f>26+4+1+4+11</f>
        <v>46</v>
      </c>
      <c r="M992" s="25">
        <f>371+59+18+20+16+186</f>
        <v>670</v>
      </c>
      <c r="N992" s="24">
        <f>M992/L992</f>
        <v>14.565217391304348</v>
      </c>
      <c r="O992" s="23"/>
    </row>
    <row r="993" spans="1:15" s="6" customFormat="1" x14ac:dyDescent="0.2">
      <c r="A993" s="4"/>
      <c r="B993" s="2" t="s">
        <v>1018</v>
      </c>
      <c r="C993" s="2" t="s">
        <v>9</v>
      </c>
      <c r="D993" s="8"/>
      <c r="E993" s="7"/>
      <c r="F993" s="17">
        <v>7</v>
      </c>
      <c r="G993" s="17">
        <v>0</v>
      </c>
      <c r="H993" s="17">
        <v>4</v>
      </c>
      <c r="I993" s="16">
        <f>H993/(F993-G993)</f>
        <v>0.5714285714285714</v>
      </c>
      <c r="J993" s="17">
        <v>2</v>
      </c>
      <c r="K993" s="25"/>
      <c r="L993" s="25"/>
      <c r="M993" s="25" t="s">
        <v>46</v>
      </c>
      <c r="N993" s="24" t="e">
        <f>M993/L993</f>
        <v>#VALUE!</v>
      </c>
      <c r="O993" s="23"/>
    </row>
    <row r="994" spans="1:15" s="54" customFormat="1" x14ac:dyDescent="0.2">
      <c r="A994" s="4"/>
      <c r="B994" s="2" t="s">
        <v>1019</v>
      </c>
      <c r="C994" s="2" t="s">
        <v>63</v>
      </c>
      <c r="D994" s="7">
        <f>83+2+2+4+3+4+1</f>
        <v>99</v>
      </c>
      <c r="E994" s="7"/>
      <c r="F994" s="17">
        <f>133+2+2+3+2+6+6+1+4+6</f>
        <v>165</v>
      </c>
      <c r="G994" s="17">
        <f>22+1+1+1+1+1</f>
        <v>27</v>
      </c>
      <c r="H994" s="17">
        <f>2068+16+24+33+2+96+56+4+21+16</f>
        <v>2336</v>
      </c>
      <c r="I994" s="16">
        <f>H994/(F994-G994)</f>
        <v>16.927536231884059</v>
      </c>
      <c r="J994" s="17" t="s">
        <v>292</v>
      </c>
      <c r="K994" s="25">
        <v>228</v>
      </c>
      <c r="L994" s="25">
        <v>33</v>
      </c>
      <c r="M994" s="25">
        <v>835</v>
      </c>
      <c r="N994" s="24">
        <f>M994/L994</f>
        <v>25.303030303030305</v>
      </c>
      <c r="O994" s="23"/>
    </row>
    <row r="995" spans="1:15" s="54" customFormat="1" x14ac:dyDescent="0.2">
      <c r="A995" s="4"/>
      <c r="B995" s="2" t="s">
        <v>1020</v>
      </c>
      <c r="C995" s="2" t="s">
        <v>98</v>
      </c>
      <c r="D995" s="7">
        <f>9+4</f>
        <v>13</v>
      </c>
      <c r="E995" s="7"/>
      <c r="F995" s="17">
        <f>66+10</f>
        <v>76</v>
      </c>
      <c r="G995" s="17">
        <v>16</v>
      </c>
      <c r="H995" s="17">
        <f>91+92</f>
        <v>183</v>
      </c>
      <c r="I995" s="16">
        <f>H995/(F995-G995)</f>
        <v>3.05</v>
      </c>
      <c r="J995" s="17">
        <v>6</v>
      </c>
      <c r="K995" s="25">
        <f>8+3</f>
        <v>11</v>
      </c>
      <c r="L995" s="25">
        <v>2</v>
      </c>
      <c r="M995" s="25">
        <f>45+39</f>
        <v>84</v>
      </c>
      <c r="N995" s="24">
        <f>M995/L995</f>
        <v>42</v>
      </c>
      <c r="O995" s="23"/>
    </row>
    <row r="996" spans="1:15" s="54" customFormat="1" x14ac:dyDescent="0.2">
      <c r="A996" s="4"/>
      <c r="B996" s="2" t="s">
        <v>1021</v>
      </c>
      <c r="C996" s="2" t="s">
        <v>89</v>
      </c>
      <c r="D996" s="7">
        <v>65</v>
      </c>
      <c r="E996" s="7"/>
      <c r="F996" s="17">
        <v>114</v>
      </c>
      <c r="G996" s="17">
        <v>27</v>
      </c>
      <c r="H996" s="17">
        <v>1084</v>
      </c>
      <c r="I996" s="16">
        <f>H996/(F996-G996)</f>
        <v>12.459770114942529</v>
      </c>
      <c r="J996" s="17">
        <v>81</v>
      </c>
      <c r="K996" s="25">
        <v>1115</v>
      </c>
      <c r="L996" s="25">
        <v>219</v>
      </c>
      <c r="M996" s="25">
        <v>3114</v>
      </c>
      <c r="N996" s="24">
        <f>M996/L996</f>
        <v>14.219178082191782</v>
      </c>
      <c r="O996" s="23"/>
    </row>
    <row r="997" spans="1:15" s="6" customFormat="1" x14ac:dyDescent="0.2">
      <c r="A997" s="4"/>
      <c r="B997" s="2" t="s">
        <v>1022</v>
      </c>
      <c r="C997" s="2" t="s">
        <v>16</v>
      </c>
      <c r="D997" s="7"/>
      <c r="E997" s="7"/>
      <c r="F997" s="17">
        <v>12</v>
      </c>
      <c r="G997" s="17">
        <v>6</v>
      </c>
      <c r="H997" s="17">
        <v>7</v>
      </c>
      <c r="I997" s="16">
        <f>H997/(F997-G997)</f>
        <v>1.1666666666666667</v>
      </c>
      <c r="J997" s="17">
        <v>4</v>
      </c>
      <c r="K997" s="25">
        <v>5</v>
      </c>
      <c r="L997" s="25">
        <v>0</v>
      </c>
      <c r="M997" s="25">
        <v>34</v>
      </c>
      <c r="N997" s="24" t="e">
        <f>M997/L997</f>
        <v>#DIV/0!</v>
      </c>
      <c r="O997" s="23"/>
    </row>
    <row r="998" spans="1:15" s="54" customFormat="1" x14ac:dyDescent="0.2">
      <c r="A998" s="4"/>
      <c r="B998" s="2" t="s">
        <v>1023</v>
      </c>
      <c r="C998" s="2" t="s">
        <v>9</v>
      </c>
      <c r="D998" s="7">
        <v>14</v>
      </c>
      <c r="E998" s="7"/>
      <c r="F998" s="17">
        <f>6+9</f>
        <v>15</v>
      </c>
      <c r="G998" s="17">
        <f>1+1</f>
        <v>2</v>
      </c>
      <c r="H998" s="17">
        <f>26+206</f>
        <v>232</v>
      </c>
      <c r="I998" s="16">
        <f>H998/(F998-G998)</f>
        <v>17.846153846153847</v>
      </c>
      <c r="J998" s="17">
        <v>57</v>
      </c>
      <c r="K998" s="25">
        <v>6</v>
      </c>
      <c r="L998" s="25">
        <v>1</v>
      </c>
      <c r="M998" s="25">
        <v>14</v>
      </c>
      <c r="N998" s="24">
        <f>M998/L998</f>
        <v>14</v>
      </c>
      <c r="O998" s="23"/>
    </row>
    <row r="999" spans="1:15" s="54" customFormat="1" x14ac:dyDescent="0.2">
      <c r="A999" s="4"/>
      <c r="B999" s="2" t="s">
        <v>1025</v>
      </c>
      <c r="C999" s="2" t="s">
        <v>21</v>
      </c>
      <c r="D999" s="7">
        <v>7</v>
      </c>
      <c r="E999" s="7"/>
      <c r="F999" s="17">
        <v>14</v>
      </c>
      <c r="G999" s="17">
        <v>2</v>
      </c>
      <c r="H999" s="17">
        <v>442</v>
      </c>
      <c r="I999" s="16">
        <f>H999/(F999-G999)</f>
        <v>36.833333333333336</v>
      </c>
      <c r="J999" s="17" t="s">
        <v>421</v>
      </c>
      <c r="K999" s="25">
        <v>4</v>
      </c>
      <c r="L999" s="25">
        <v>1</v>
      </c>
      <c r="M999" s="25">
        <v>26</v>
      </c>
      <c r="N999" s="24">
        <f>M999/L999</f>
        <v>26</v>
      </c>
      <c r="O999" s="23"/>
    </row>
    <row r="1000" spans="1:15" s="54" customFormat="1" x14ac:dyDescent="0.2">
      <c r="A1000" s="4"/>
      <c r="B1000" s="2" t="s">
        <v>1026</v>
      </c>
      <c r="C1000" s="2" t="s">
        <v>11</v>
      </c>
      <c r="D1000" s="7">
        <v>1</v>
      </c>
      <c r="E1000" s="7"/>
      <c r="F1000" s="17">
        <v>7</v>
      </c>
      <c r="G1000" s="17">
        <v>1</v>
      </c>
      <c r="H1000" s="17">
        <v>6</v>
      </c>
      <c r="I1000" s="16">
        <f>H1000/(F1000-G1000)</f>
        <v>1</v>
      </c>
      <c r="J1000" s="17">
        <v>5</v>
      </c>
      <c r="K1000" s="25">
        <v>4</v>
      </c>
      <c r="L1000" s="25">
        <v>2</v>
      </c>
      <c r="M1000" s="25">
        <v>22</v>
      </c>
      <c r="N1000" s="24">
        <f>M1000/L1000</f>
        <v>11</v>
      </c>
      <c r="O1000" s="23"/>
    </row>
    <row r="1001" spans="1:15" s="54" customFormat="1" x14ac:dyDescent="0.2">
      <c r="A1001" s="4"/>
      <c r="B1001" s="2" t="s">
        <v>1027</v>
      </c>
      <c r="C1001" s="2" t="s">
        <v>20</v>
      </c>
      <c r="D1001" s="7">
        <v>3</v>
      </c>
      <c r="E1001" s="7"/>
      <c r="F1001" s="17">
        <v>10</v>
      </c>
      <c r="G1001" s="17">
        <v>3</v>
      </c>
      <c r="H1001" s="17">
        <v>20</v>
      </c>
      <c r="I1001" s="16">
        <f>H1001/(F1001-G1001)</f>
        <v>2.8571428571428572</v>
      </c>
      <c r="J1001" s="17">
        <v>5</v>
      </c>
      <c r="K1001" s="25">
        <v>3</v>
      </c>
      <c r="L1001" s="25"/>
      <c r="M1001" s="25">
        <v>29</v>
      </c>
      <c r="N1001" s="24" t="e">
        <f>M1001/L1001</f>
        <v>#DIV/0!</v>
      </c>
      <c r="O1001" s="23"/>
    </row>
    <row r="1002" spans="1:15" s="6" customFormat="1" x14ac:dyDescent="0.2">
      <c r="A1002" s="4"/>
      <c r="B1002" s="2" t="s">
        <v>1028</v>
      </c>
      <c r="C1002" s="2" t="s">
        <v>21</v>
      </c>
      <c r="D1002" s="7">
        <v>61</v>
      </c>
      <c r="E1002" s="7"/>
      <c r="F1002" s="17">
        <v>93</v>
      </c>
      <c r="G1002" s="17">
        <v>27</v>
      </c>
      <c r="H1002" s="17">
        <v>1437</v>
      </c>
      <c r="I1002" s="16">
        <f>H1002/(F1002-G1002)</f>
        <v>21.772727272727273</v>
      </c>
      <c r="J1002" s="17" t="s">
        <v>394</v>
      </c>
      <c r="K1002" s="25">
        <v>1027.2</v>
      </c>
      <c r="L1002" s="25">
        <v>214</v>
      </c>
      <c r="M1002" s="25">
        <v>3132</v>
      </c>
      <c r="N1002" s="24">
        <f>M1002/L1002</f>
        <v>14.635514018691589</v>
      </c>
      <c r="O1002" s="23"/>
    </row>
    <row r="1003" spans="1:15" s="54" customFormat="1" x14ac:dyDescent="0.2">
      <c r="A1003" s="57">
        <v>1925191</v>
      </c>
      <c r="B1003" s="58" t="s">
        <v>2154</v>
      </c>
      <c r="C1003" s="58" t="s">
        <v>2155</v>
      </c>
      <c r="D1003" s="59">
        <f>0+1+1</f>
        <v>2</v>
      </c>
      <c r="E1003" s="59">
        <f>0+0</f>
        <v>0</v>
      </c>
      <c r="F1003" s="60">
        <f>5+8+1</f>
        <v>14</v>
      </c>
      <c r="G1003" s="60">
        <f>3+2+0</f>
        <v>5</v>
      </c>
      <c r="H1003" s="60">
        <f>2+27+1</f>
        <v>30</v>
      </c>
      <c r="I1003" s="61">
        <f>H1003/(F1003-G1003)</f>
        <v>3.3333333333333335</v>
      </c>
      <c r="J1003" s="60">
        <v>11</v>
      </c>
      <c r="K1003" s="62">
        <f>12+25.2+5+9</f>
        <v>51.2</v>
      </c>
      <c r="L1003" s="62">
        <f>1+4+1+2</f>
        <v>8</v>
      </c>
      <c r="M1003" s="62">
        <f>71+127+13+17</f>
        <v>228</v>
      </c>
      <c r="N1003" s="63">
        <f>M1003/L1003</f>
        <v>28.5</v>
      </c>
      <c r="O1003" s="66" t="s">
        <v>2464</v>
      </c>
    </row>
    <row r="1004" spans="1:15" s="54" customFormat="1" x14ac:dyDescent="0.2">
      <c r="A1004" s="4"/>
      <c r="B1004" s="2" t="s">
        <v>1029</v>
      </c>
      <c r="C1004" s="2" t="s">
        <v>21</v>
      </c>
      <c r="D1004" s="7">
        <v>4</v>
      </c>
      <c r="E1004" s="7"/>
      <c r="F1004" s="17">
        <v>13</v>
      </c>
      <c r="G1004" s="17">
        <v>1</v>
      </c>
      <c r="H1004" s="17">
        <v>53</v>
      </c>
      <c r="I1004" s="16">
        <f>H1004/(F1004-G1004)</f>
        <v>4.416666666666667</v>
      </c>
      <c r="J1004" s="17" t="s">
        <v>442</v>
      </c>
      <c r="K1004" s="25"/>
      <c r="L1004" s="25"/>
      <c r="M1004" s="25"/>
      <c r="N1004" s="24" t="e">
        <f>M1004/L1004</f>
        <v>#DIV/0!</v>
      </c>
      <c r="O1004" s="23"/>
    </row>
    <row r="1005" spans="1:15" s="54" customFormat="1" x14ac:dyDescent="0.2">
      <c r="A1005" s="4">
        <v>2014525</v>
      </c>
      <c r="B1005" s="2" t="s">
        <v>2156</v>
      </c>
      <c r="C1005" s="2" t="s">
        <v>95</v>
      </c>
      <c r="D1005" s="93">
        <f>1</f>
        <v>1</v>
      </c>
      <c r="E1005" s="93"/>
      <c r="F1005" s="17">
        <f>1</f>
        <v>1</v>
      </c>
      <c r="G1005" s="17">
        <f>0</f>
        <v>0</v>
      </c>
      <c r="H1005" s="17">
        <f>1</f>
        <v>1</v>
      </c>
      <c r="I1005" s="16">
        <f>H1005/(F1005-G1005)</f>
        <v>1</v>
      </c>
      <c r="J1005" s="17">
        <v>1</v>
      </c>
      <c r="K1005" s="25">
        <f>10</f>
        <v>10</v>
      </c>
      <c r="L1005" s="25">
        <f>3</f>
        <v>3</v>
      </c>
      <c r="M1005" s="25">
        <f>36</f>
        <v>36</v>
      </c>
      <c r="N1005" s="24">
        <f>M1005/L1005</f>
        <v>12</v>
      </c>
      <c r="O1005" s="49" t="s">
        <v>1467</v>
      </c>
    </row>
    <row r="1006" spans="1:15" s="54" customFormat="1" x14ac:dyDescent="0.2">
      <c r="A1006" s="4"/>
      <c r="B1006" s="2" t="s">
        <v>1030</v>
      </c>
      <c r="C1006" s="2" t="s">
        <v>86</v>
      </c>
      <c r="D1006" s="7">
        <v>3</v>
      </c>
      <c r="E1006" s="7"/>
      <c r="F1006" s="17">
        <v>23</v>
      </c>
      <c r="G1006" s="17"/>
      <c r="H1006" s="17">
        <v>195</v>
      </c>
      <c r="I1006" s="16">
        <f>H1006/(F1006-G1006)</f>
        <v>8.4782608695652169</v>
      </c>
      <c r="J1006" s="17">
        <v>50</v>
      </c>
      <c r="K1006" s="25">
        <v>65</v>
      </c>
      <c r="L1006" s="25">
        <v>13</v>
      </c>
      <c r="M1006" s="25">
        <v>321</v>
      </c>
      <c r="N1006" s="24">
        <f>M1006/L1006</f>
        <v>24.692307692307693</v>
      </c>
      <c r="O1006" s="23"/>
    </row>
    <row r="1007" spans="1:15" s="54" customFormat="1" x14ac:dyDescent="0.2">
      <c r="A1007" s="4">
        <v>80566</v>
      </c>
      <c r="B1007" s="52" t="s">
        <v>1393</v>
      </c>
      <c r="C1007" s="2" t="s">
        <v>1447</v>
      </c>
      <c r="D1007" s="7">
        <f>3</f>
        <v>3</v>
      </c>
      <c r="E1007" s="7">
        <f>0</f>
        <v>0</v>
      </c>
      <c r="F1007" s="17">
        <f>19</f>
        <v>19</v>
      </c>
      <c r="G1007" s="17">
        <f>0</f>
        <v>0</v>
      </c>
      <c r="H1007" s="17">
        <f>218</f>
        <v>218</v>
      </c>
      <c r="I1007" s="16">
        <f>H1007/(F1007-G1007)</f>
        <v>11.473684210526315</v>
      </c>
      <c r="J1007" s="17">
        <v>35</v>
      </c>
      <c r="K1007" s="25">
        <f>39</f>
        <v>39</v>
      </c>
      <c r="L1007" s="25">
        <f>11</f>
        <v>11</v>
      </c>
      <c r="M1007" s="25">
        <f>188</f>
        <v>188</v>
      </c>
      <c r="N1007" s="24">
        <f>M1007/L1007</f>
        <v>17.09090909090909</v>
      </c>
      <c r="O1007" s="49" t="s">
        <v>1465</v>
      </c>
    </row>
    <row r="1008" spans="1:15" s="54" customFormat="1" x14ac:dyDescent="0.2">
      <c r="A1008" s="4"/>
      <c r="B1008" s="2" t="s">
        <v>1031</v>
      </c>
      <c r="C1008" s="2" t="s">
        <v>43</v>
      </c>
      <c r="D1008" s="7">
        <v>5</v>
      </c>
      <c r="E1008" s="7"/>
      <c r="F1008" s="17">
        <v>13</v>
      </c>
      <c r="G1008" s="17">
        <v>1</v>
      </c>
      <c r="H1008" s="17">
        <v>24</v>
      </c>
      <c r="I1008" s="16">
        <f>H1008/(F1008-G1008)</f>
        <v>2</v>
      </c>
      <c r="J1008" s="17">
        <v>7</v>
      </c>
      <c r="K1008" s="25">
        <v>30</v>
      </c>
      <c r="L1008" s="25">
        <v>4</v>
      </c>
      <c r="M1008" s="25">
        <v>125</v>
      </c>
      <c r="N1008" s="24">
        <f>M1008/L1008</f>
        <v>31.25</v>
      </c>
      <c r="O1008" s="23"/>
    </row>
    <row r="1009" spans="1:15" s="54" customFormat="1" x14ac:dyDescent="0.2">
      <c r="A1009" s="4"/>
      <c r="B1009" s="2" t="s">
        <v>1032</v>
      </c>
      <c r="C1009" s="2" t="s">
        <v>27</v>
      </c>
      <c r="D1009" s="7">
        <f>10+9</f>
        <v>19</v>
      </c>
      <c r="E1009" s="7"/>
      <c r="F1009" s="17">
        <f>12+1+13</f>
        <v>26</v>
      </c>
      <c r="G1009" s="17">
        <f>2+0</f>
        <v>2</v>
      </c>
      <c r="H1009" s="17">
        <f>217+186</f>
        <v>403</v>
      </c>
      <c r="I1009" s="16">
        <f>H1009/(F1009-G1009)</f>
        <v>16.791666666666668</v>
      </c>
      <c r="J1009" s="17">
        <v>51</v>
      </c>
      <c r="K1009" s="25">
        <f>36+3+46</f>
        <v>85</v>
      </c>
      <c r="L1009" s="25">
        <f>9+7</f>
        <v>16</v>
      </c>
      <c r="M1009" s="25">
        <f>157+12+108</f>
        <v>277</v>
      </c>
      <c r="N1009" s="24">
        <f>M1009/L1009</f>
        <v>17.3125</v>
      </c>
      <c r="O1009" s="23"/>
    </row>
    <row r="1010" spans="1:15" s="54" customFormat="1" x14ac:dyDescent="0.2">
      <c r="A1010" s="57">
        <v>2163508</v>
      </c>
      <c r="B1010" s="58" t="s">
        <v>2772</v>
      </c>
      <c r="C1010" s="58" t="s">
        <v>2377</v>
      </c>
      <c r="D1010" s="59">
        <f>0+0+2</f>
        <v>2</v>
      </c>
      <c r="E1010" s="59">
        <f>0+0</f>
        <v>0</v>
      </c>
      <c r="F1010" s="60">
        <f>3+11+14</f>
        <v>28</v>
      </c>
      <c r="G1010" s="60">
        <f>2+8+7</f>
        <v>17</v>
      </c>
      <c r="H1010" s="60">
        <f>11+38+85</f>
        <v>134</v>
      </c>
      <c r="I1010" s="61">
        <f>H1010/(F1010-G1010)</f>
        <v>12.181818181818182</v>
      </c>
      <c r="J1010" s="60">
        <v>22</v>
      </c>
      <c r="K1010" s="62">
        <f>11+35+44</f>
        <v>90</v>
      </c>
      <c r="L1010" s="62">
        <f>2+3+5</f>
        <v>10</v>
      </c>
      <c r="M1010" s="62">
        <f>27+104+241</f>
        <v>372</v>
      </c>
      <c r="N1010" s="63">
        <f>M1010/L1010</f>
        <v>37.200000000000003</v>
      </c>
      <c r="O1010" s="66" t="s">
        <v>1812</v>
      </c>
    </row>
    <row r="1011" spans="1:15" s="54" customFormat="1" x14ac:dyDescent="0.2">
      <c r="A1011" s="57">
        <v>1641931</v>
      </c>
      <c r="B1011" s="58" t="s">
        <v>2157</v>
      </c>
      <c r="C1011" s="58" t="s">
        <v>2158</v>
      </c>
      <c r="D1011" s="59">
        <f>3+6+6</f>
        <v>15</v>
      </c>
      <c r="E1011" s="59">
        <f>0+0</f>
        <v>0</v>
      </c>
      <c r="F1011" s="60">
        <f>13+23+18+1</f>
        <v>55</v>
      </c>
      <c r="G1011" s="60">
        <f>2+3+1</f>
        <v>6</v>
      </c>
      <c r="H1011" s="60">
        <f>236+443+411+20</f>
        <v>1110</v>
      </c>
      <c r="I1011" s="61">
        <f>H1011/(F1011-G1011)</f>
        <v>22.653061224489797</v>
      </c>
      <c r="J1011" s="60" t="s">
        <v>355</v>
      </c>
      <c r="K1011" s="62">
        <f>61.5+105.1+(0.4)+63+9</f>
        <v>239</v>
      </c>
      <c r="L1011" s="62">
        <f>14+22+15+5</f>
        <v>56</v>
      </c>
      <c r="M1011" s="62">
        <f>113+320+176+19</f>
        <v>628</v>
      </c>
      <c r="N1011" s="63">
        <f>M1011/L1011</f>
        <v>11.214285714285714</v>
      </c>
      <c r="O1011" s="66" t="s">
        <v>2026</v>
      </c>
    </row>
    <row r="1012" spans="1:15" s="54" customFormat="1" x14ac:dyDescent="0.2">
      <c r="A1012" s="4"/>
      <c r="B1012" s="4" t="s">
        <v>1024</v>
      </c>
      <c r="C1012" s="2" t="s">
        <v>36</v>
      </c>
      <c r="D1012" s="7">
        <v>2</v>
      </c>
      <c r="E1012" s="7"/>
      <c r="F1012" s="17">
        <v>2</v>
      </c>
      <c r="G1012" s="17">
        <v>1</v>
      </c>
      <c r="H1012" s="17">
        <v>1</v>
      </c>
      <c r="I1012" s="16">
        <f>H1012/(F1012-G1012)</f>
        <v>1</v>
      </c>
      <c r="J1012" s="17" t="s">
        <v>276</v>
      </c>
      <c r="K1012" s="25">
        <v>0</v>
      </c>
      <c r="L1012" s="25">
        <v>0</v>
      </c>
      <c r="M1012" s="25">
        <v>0</v>
      </c>
      <c r="N1012" s="24" t="e">
        <f>M1012/L1012</f>
        <v>#DIV/0!</v>
      </c>
      <c r="O1012" s="23"/>
    </row>
    <row r="1013" spans="1:15" s="54" customFormat="1" x14ac:dyDescent="0.2">
      <c r="A1013" s="4">
        <v>682310</v>
      </c>
      <c r="B1013" s="2" t="s">
        <v>1033</v>
      </c>
      <c r="C1013" s="2" t="s">
        <v>389</v>
      </c>
      <c r="D1013" s="8">
        <f>112+7+1+1</f>
        <v>121</v>
      </c>
      <c r="E1013" s="7">
        <f>6+1+0</f>
        <v>7</v>
      </c>
      <c r="F1013" s="17">
        <f>11+10+2+3+1+12+1+13+3+3+1+11+1+12+1+15+14+14+9+13+14+2</f>
        <v>166</v>
      </c>
      <c r="G1013" s="17">
        <f>2+2+3+1+1+1+1+0+0+1+3+0+1+3+1+0</f>
        <v>20</v>
      </c>
      <c r="H1013" s="17">
        <f>34+111+1+8+10+223+18+181+26+36+2+147+391+17+51+96+183+153+144+201+9</f>
        <v>2042</v>
      </c>
      <c r="I1013" s="16">
        <f>H1013/(F1013-G1013)</f>
        <v>13.986301369863014</v>
      </c>
      <c r="J1013" s="17">
        <v>79</v>
      </c>
      <c r="K1013" s="25">
        <f>16+4+3+1+4+0+0+4+2+1+2+2</f>
        <v>39</v>
      </c>
      <c r="L1013" s="25">
        <f>3+1+0+0+2+0+1+0+0</f>
        <v>7</v>
      </c>
      <c r="M1013" s="25">
        <f>56+15+16+8+24+0+0+16+17+9+12+3</f>
        <v>176</v>
      </c>
      <c r="N1013" s="24">
        <f>M1013/L1013</f>
        <v>25.142857142857142</v>
      </c>
      <c r="O1013" s="49" t="s">
        <v>1382</v>
      </c>
    </row>
    <row r="1014" spans="1:15" s="6" customFormat="1" x14ac:dyDescent="0.2">
      <c r="A1014" s="4"/>
      <c r="B1014" s="2" t="s">
        <v>1034</v>
      </c>
      <c r="C1014" s="2" t="s">
        <v>142</v>
      </c>
      <c r="D1014" s="7">
        <v>8</v>
      </c>
      <c r="E1014" s="7"/>
      <c r="F1014" s="17">
        <v>43</v>
      </c>
      <c r="G1014" s="17">
        <v>8</v>
      </c>
      <c r="H1014" s="17">
        <v>364</v>
      </c>
      <c r="I1014" s="16">
        <f>H1014/(F1014-G1014)</f>
        <v>10.4</v>
      </c>
      <c r="J1014" s="17">
        <v>52</v>
      </c>
      <c r="K1014" s="25">
        <v>324</v>
      </c>
      <c r="L1014" s="25">
        <v>69</v>
      </c>
      <c r="M1014" s="25">
        <v>1158</v>
      </c>
      <c r="N1014" s="24">
        <f>M1014/L1014</f>
        <v>16.782608695652176</v>
      </c>
      <c r="O1014" s="23"/>
    </row>
    <row r="1015" spans="1:15" s="6" customFormat="1" x14ac:dyDescent="0.2">
      <c r="A1015" s="4">
        <v>2076296</v>
      </c>
      <c r="B1015" s="2" t="s">
        <v>2378</v>
      </c>
      <c r="C1015" s="2" t="s">
        <v>2379</v>
      </c>
      <c r="D1015" s="7">
        <f>0</f>
        <v>0</v>
      </c>
      <c r="E1015" s="7">
        <f>0</f>
        <v>0</v>
      </c>
      <c r="F1015" s="17">
        <f>2</f>
        <v>2</v>
      </c>
      <c r="G1015" s="17">
        <f>1</f>
        <v>1</v>
      </c>
      <c r="H1015" s="17">
        <f>0</f>
        <v>0</v>
      </c>
      <c r="I1015" s="16">
        <f>H1015/(F1015-G1015)</f>
        <v>0</v>
      </c>
      <c r="J1015" s="17" t="s">
        <v>372</v>
      </c>
      <c r="K1015" s="25">
        <f>6</f>
        <v>6</v>
      </c>
      <c r="L1015" s="25">
        <f>0</f>
        <v>0</v>
      </c>
      <c r="M1015" s="25">
        <f>26</f>
        <v>26</v>
      </c>
      <c r="N1015" s="24" t="e">
        <f>M1015/L1015</f>
        <v>#DIV/0!</v>
      </c>
      <c r="O1015" s="49" t="s">
        <v>2279</v>
      </c>
    </row>
    <row r="1016" spans="1:15" s="6" customFormat="1" x14ac:dyDescent="0.2">
      <c r="A1016" s="4">
        <v>2061327</v>
      </c>
      <c r="B1016" s="2" t="s">
        <v>2380</v>
      </c>
      <c r="C1016" s="2" t="s">
        <v>2201</v>
      </c>
      <c r="D1016" s="7">
        <f>0</f>
        <v>0</v>
      </c>
      <c r="E1016" s="7">
        <f>0</f>
        <v>0</v>
      </c>
      <c r="F1016" s="17">
        <f>2</f>
        <v>2</v>
      </c>
      <c r="G1016" s="17">
        <f>1</f>
        <v>1</v>
      </c>
      <c r="H1016" s="17">
        <f>0</f>
        <v>0</v>
      </c>
      <c r="I1016" s="16">
        <f>H1016/(F1016-G1016)</f>
        <v>0</v>
      </c>
      <c r="J1016" s="17" t="s">
        <v>372</v>
      </c>
      <c r="K1016" s="25">
        <f>4</f>
        <v>4</v>
      </c>
      <c r="L1016" s="25">
        <f>3</f>
        <v>3</v>
      </c>
      <c r="M1016" s="25">
        <f>12</f>
        <v>12</v>
      </c>
      <c r="N1016" s="24">
        <f>M1016/L1016</f>
        <v>4</v>
      </c>
      <c r="O1016" s="49" t="s">
        <v>1354</v>
      </c>
    </row>
    <row r="1017" spans="1:15" s="6" customFormat="1" x14ac:dyDescent="0.2">
      <c r="A1017" s="64"/>
      <c r="B1017" s="80" t="s">
        <v>2695</v>
      </c>
      <c r="C1017" s="58" t="s">
        <v>151</v>
      </c>
      <c r="D1017" s="59">
        <v>3</v>
      </c>
      <c r="E1017" s="59"/>
      <c r="F1017" s="60">
        <v>10</v>
      </c>
      <c r="G1017" s="60">
        <v>1</v>
      </c>
      <c r="H1017" s="60">
        <v>88</v>
      </c>
      <c r="I1017" s="61">
        <f>H1017/(F1017-G1017)</f>
        <v>9.7777777777777786</v>
      </c>
      <c r="J1017" s="60" t="s">
        <v>429</v>
      </c>
      <c r="K1017" s="62">
        <v>88</v>
      </c>
      <c r="L1017" s="62">
        <v>20</v>
      </c>
      <c r="M1017" s="62">
        <v>268</v>
      </c>
      <c r="N1017" s="63">
        <f>M1017/L1017</f>
        <v>13.4</v>
      </c>
      <c r="O1017" s="66" t="s">
        <v>2458</v>
      </c>
    </row>
    <row r="1018" spans="1:15" s="54" customFormat="1" x14ac:dyDescent="0.2">
      <c r="A1018" s="4"/>
      <c r="B1018" s="2" t="s">
        <v>1035</v>
      </c>
      <c r="C1018" s="2" t="s">
        <v>91</v>
      </c>
      <c r="D1018" s="7">
        <v>9</v>
      </c>
      <c r="E1018" s="7"/>
      <c r="F1018" s="17">
        <v>34</v>
      </c>
      <c r="G1018" s="17">
        <v>4</v>
      </c>
      <c r="H1018" s="17">
        <v>171</v>
      </c>
      <c r="I1018" s="16">
        <f>H1018/(F1018-G1018)</f>
        <v>5.7</v>
      </c>
      <c r="J1018" s="17">
        <v>31</v>
      </c>
      <c r="K1018" s="25">
        <v>23</v>
      </c>
      <c r="L1018" s="25">
        <v>3</v>
      </c>
      <c r="M1018" s="25">
        <v>62</v>
      </c>
      <c r="N1018" s="24">
        <f>M1018/L1018</f>
        <v>20.666666666666668</v>
      </c>
      <c r="O1018" s="23"/>
    </row>
    <row r="1019" spans="1:15" s="54" customFormat="1" x14ac:dyDescent="0.2">
      <c r="A1019" s="4"/>
      <c r="B1019" s="4" t="s">
        <v>1038</v>
      </c>
      <c r="C1019" s="2" t="s">
        <v>136</v>
      </c>
      <c r="D1019" s="7">
        <f>4+2+5+0</f>
        <v>11</v>
      </c>
      <c r="E1019" s="7"/>
      <c r="F1019" s="17">
        <f>8+12+9</f>
        <v>29</v>
      </c>
      <c r="G1019" s="17">
        <f>0+2+0</f>
        <v>2</v>
      </c>
      <c r="H1019" s="17">
        <f>19+57+21</f>
        <v>97</v>
      </c>
      <c r="I1019" s="16">
        <f>H1019/(F1019-G1019)</f>
        <v>3.5925925925925926</v>
      </c>
      <c r="J1019" s="17">
        <v>26</v>
      </c>
      <c r="K1019" s="25">
        <v>5</v>
      </c>
      <c r="L1019" s="25">
        <v>0</v>
      </c>
      <c r="M1019" s="25">
        <v>58</v>
      </c>
      <c r="N1019" s="24" t="e">
        <f>M1019/L1019</f>
        <v>#DIV/0!</v>
      </c>
      <c r="O1019" s="23"/>
    </row>
    <row r="1020" spans="1:15" x14ac:dyDescent="0.2">
      <c r="A1020" s="4"/>
      <c r="B1020" s="2" t="s">
        <v>1036</v>
      </c>
      <c r="C1020" s="2" t="s">
        <v>145</v>
      </c>
      <c r="D1020" s="7">
        <v>18</v>
      </c>
      <c r="E1020" s="7"/>
      <c r="F1020" s="17">
        <v>41</v>
      </c>
      <c r="G1020" s="17">
        <v>15</v>
      </c>
      <c r="H1020" s="17">
        <v>188</v>
      </c>
      <c r="I1020" s="16">
        <f>H1020/(F1020-G1020)</f>
        <v>7.2307692307692308</v>
      </c>
      <c r="J1020" s="17">
        <v>24</v>
      </c>
      <c r="K1020" s="25">
        <v>288</v>
      </c>
      <c r="L1020" s="25">
        <v>58</v>
      </c>
      <c r="M1020" s="25">
        <v>851</v>
      </c>
      <c r="N1020" s="24">
        <f>M1020/L1020</f>
        <v>14.672413793103448</v>
      </c>
      <c r="O1020" s="23"/>
    </row>
    <row r="1021" spans="1:15" s="54" customFormat="1" x14ac:dyDescent="0.2">
      <c r="A1021" s="4"/>
      <c r="B1021" s="4" t="s">
        <v>1037</v>
      </c>
      <c r="C1021" s="2" t="s">
        <v>258</v>
      </c>
      <c r="D1021" s="7">
        <v>1</v>
      </c>
      <c r="E1021" s="7"/>
      <c r="F1021" s="17">
        <v>3</v>
      </c>
      <c r="G1021" s="17">
        <v>2</v>
      </c>
      <c r="H1021" s="17">
        <v>31</v>
      </c>
      <c r="I1021" s="16">
        <f>H1021/(F1021-G1021)</f>
        <v>31</v>
      </c>
      <c r="J1021" s="17">
        <v>7</v>
      </c>
      <c r="K1021" s="25">
        <v>17</v>
      </c>
      <c r="L1021" s="25">
        <v>2</v>
      </c>
      <c r="M1021" s="25">
        <v>75</v>
      </c>
      <c r="N1021" s="24">
        <f>M1021/L1021</f>
        <v>37.5</v>
      </c>
      <c r="O1021" s="23"/>
    </row>
    <row r="1022" spans="1:15" s="54" customFormat="1" x14ac:dyDescent="0.2">
      <c r="A1022" s="4">
        <v>1385909</v>
      </c>
      <c r="B1022" s="35" t="s">
        <v>2159</v>
      </c>
      <c r="C1022" s="2" t="s">
        <v>2160</v>
      </c>
      <c r="D1022" s="7">
        <f>1</f>
        <v>1</v>
      </c>
      <c r="E1022" s="7"/>
      <c r="F1022" s="17">
        <f>12</f>
        <v>12</v>
      </c>
      <c r="G1022" s="17">
        <f>1</f>
        <v>1</v>
      </c>
      <c r="H1022" s="17">
        <f>27</f>
        <v>27</v>
      </c>
      <c r="I1022" s="16">
        <f>H1022/(F1022-G1022)</f>
        <v>2.4545454545454546</v>
      </c>
      <c r="J1022" s="17">
        <v>11</v>
      </c>
      <c r="K1022" s="25">
        <f>69</f>
        <v>69</v>
      </c>
      <c r="L1022" s="25">
        <f>14</f>
        <v>14</v>
      </c>
      <c r="M1022" s="25">
        <f>316</f>
        <v>316</v>
      </c>
      <c r="N1022" s="24">
        <f>M1022/L1022</f>
        <v>22.571428571428573</v>
      </c>
      <c r="O1022" s="49" t="s">
        <v>1789</v>
      </c>
    </row>
    <row r="1023" spans="1:15" s="54" customFormat="1" x14ac:dyDescent="0.2">
      <c r="A1023" s="4">
        <v>716048</v>
      </c>
      <c r="B1023" s="51" t="s">
        <v>1409</v>
      </c>
      <c r="C1023" s="2" t="s">
        <v>243</v>
      </c>
      <c r="D1023" s="7">
        <f>4+6+3+3+1</f>
        <v>17</v>
      </c>
      <c r="E1023" s="7">
        <f>0+0+0+0+0</f>
        <v>0</v>
      </c>
      <c r="F1023" s="17">
        <f>14+11+7+13+9+1</f>
        <v>55</v>
      </c>
      <c r="G1023" s="17">
        <f>0+2+0+2+3+0</f>
        <v>7</v>
      </c>
      <c r="H1023" s="17">
        <f>258+273+59+158+106+1</f>
        <v>855</v>
      </c>
      <c r="I1023" s="16">
        <f>H1023/(F1023-G1023)</f>
        <v>17.8125</v>
      </c>
      <c r="J1023" s="17">
        <v>97</v>
      </c>
      <c r="K1023" s="25">
        <f>1+1+1</f>
        <v>3</v>
      </c>
      <c r="L1023" s="25">
        <f>0+0+0</f>
        <v>0</v>
      </c>
      <c r="M1023" s="25">
        <f>10+5+5</f>
        <v>20</v>
      </c>
      <c r="N1023" s="24" t="e">
        <f>M1023/L1023</f>
        <v>#DIV/0!</v>
      </c>
      <c r="O1023" s="49" t="s">
        <v>1508</v>
      </c>
    </row>
    <row r="1024" spans="1:15" s="54" customFormat="1" x14ac:dyDescent="0.2">
      <c r="A1024" s="4">
        <v>739990</v>
      </c>
      <c r="B1024" s="51" t="s">
        <v>1411</v>
      </c>
      <c r="C1024" s="2" t="s">
        <v>1448</v>
      </c>
      <c r="D1024" s="7">
        <f>0</f>
        <v>0</v>
      </c>
      <c r="E1024" s="7">
        <f>0</f>
        <v>0</v>
      </c>
      <c r="F1024" s="17">
        <f>2</f>
        <v>2</v>
      </c>
      <c r="G1024" s="17">
        <f>0</f>
        <v>0</v>
      </c>
      <c r="H1024" s="17">
        <f>2</f>
        <v>2</v>
      </c>
      <c r="I1024" s="16">
        <f>H1024/(F1024-G1024)</f>
        <v>1</v>
      </c>
      <c r="J1024" s="17">
        <v>2</v>
      </c>
      <c r="K1024" s="25"/>
      <c r="L1024" s="25"/>
      <c r="M1024" s="25"/>
      <c r="N1024" s="24" t="e">
        <f>M1024/L1024</f>
        <v>#DIV/0!</v>
      </c>
      <c r="O1024" s="23"/>
    </row>
    <row r="1025" spans="1:15" s="54" customFormat="1" x14ac:dyDescent="0.2">
      <c r="A1025" s="4"/>
      <c r="B1025" s="35" t="s">
        <v>1039</v>
      </c>
      <c r="C1025" s="2" t="s">
        <v>98</v>
      </c>
      <c r="D1025" s="7">
        <f>29+10</f>
        <v>39</v>
      </c>
      <c r="E1025" s="7"/>
      <c r="F1025" s="17">
        <f>68+18</f>
        <v>86</v>
      </c>
      <c r="G1025" s="17">
        <f>7+2</f>
        <v>9</v>
      </c>
      <c r="H1025" s="17">
        <f>717+187</f>
        <v>904</v>
      </c>
      <c r="I1025" s="16">
        <f>H1025/(F1025-G1025)</f>
        <v>11.74025974025974</v>
      </c>
      <c r="J1025" s="17">
        <v>63</v>
      </c>
      <c r="K1025" s="25">
        <f>198+15</f>
        <v>213</v>
      </c>
      <c r="L1025" s="25">
        <f>43+5</f>
        <v>48</v>
      </c>
      <c r="M1025" s="25">
        <f>851+59</f>
        <v>910</v>
      </c>
      <c r="N1025" s="24">
        <f>M1025/L1025</f>
        <v>18.958333333333332</v>
      </c>
      <c r="O1025" s="23"/>
    </row>
    <row r="1026" spans="1:15" s="54" customFormat="1" x14ac:dyDescent="0.2">
      <c r="A1026" s="84">
        <v>1441094</v>
      </c>
      <c r="B1026" s="85" t="s">
        <v>1565</v>
      </c>
      <c r="C1026" s="2" t="s">
        <v>1566</v>
      </c>
      <c r="D1026" s="7">
        <f>11</f>
        <v>11</v>
      </c>
      <c r="E1026" s="7">
        <f>0</f>
        <v>0</v>
      </c>
      <c r="F1026" s="17">
        <f>11</f>
        <v>11</v>
      </c>
      <c r="G1026" s="17">
        <f>0</f>
        <v>0</v>
      </c>
      <c r="H1026" s="17">
        <f>215</f>
        <v>215</v>
      </c>
      <c r="I1026" s="16">
        <f>H1026/(F1026-G1026)</f>
        <v>19.545454545454547</v>
      </c>
      <c r="J1026" s="17">
        <v>74</v>
      </c>
      <c r="K1026" s="25"/>
      <c r="L1026" s="25"/>
      <c r="M1026" s="25"/>
      <c r="N1026" s="24" t="e">
        <f>M1026/L1026</f>
        <v>#DIV/0!</v>
      </c>
      <c r="O1026" s="23"/>
    </row>
    <row r="1027" spans="1:15" s="54" customFormat="1" x14ac:dyDescent="0.2">
      <c r="A1027" s="64">
        <v>1441093</v>
      </c>
      <c r="B1027" s="83" t="s">
        <v>1567</v>
      </c>
      <c r="C1027" s="58" t="s">
        <v>1568</v>
      </c>
      <c r="D1027" s="59">
        <f>0</f>
        <v>0</v>
      </c>
      <c r="E1027" s="59">
        <f>0</f>
        <v>0</v>
      </c>
      <c r="F1027" s="60">
        <f>13+10</f>
        <v>23</v>
      </c>
      <c r="G1027" s="60">
        <f>1</f>
        <v>1</v>
      </c>
      <c r="H1027" s="60">
        <f>131+24</f>
        <v>155</v>
      </c>
      <c r="I1027" s="61">
        <f>H1027/(F1027-G1027)</f>
        <v>7.0454545454545459</v>
      </c>
      <c r="J1027" s="60">
        <v>29</v>
      </c>
      <c r="K1027" s="62">
        <f>9+10</f>
        <v>19</v>
      </c>
      <c r="L1027" s="62">
        <f>1+1</f>
        <v>2</v>
      </c>
      <c r="M1027" s="62">
        <f>46+61</f>
        <v>107</v>
      </c>
      <c r="N1027" s="63">
        <f>M1027/L1027</f>
        <v>53.5</v>
      </c>
      <c r="O1027" s="66" t="s">
        <v>1640</v>
      </c>
    </row>
    <row r="1028" spans="1:15" s="54" customFormat="1" x14ac:dyDescent="0.2">
      <c r="A1028" s="84">
        <v>1080519</v>
      </c>
      <c r="B1028" s="35" t="s">
        <v>1932</v>
      </c>
      <c r="C1028" s="2" t="s">
        <v>1933</v>
      </c>
      <c r="D1028" s="7">
        <f>0</f>
        <v>0</v>
      </c>
      <c r="E1028" s="7">
        <f>0</f>
        <v>0</v>
      </c>
      <c r="F1028" s="17">
        <f>1</f>
        <v>1</v>
      </c>
      <c r="G1028" s="17">
        <f>0</f>
        <v>0</v>
      </c>
      <c r="H1028" s="17">
        <f>1</f>
        <v>1</v>
      </c>
      <c r="I1028" s="16">
        <f>H1028/(F1028-G1028)</f>
        <v>1</v>
      </c>
      <c r="J1028" s="17">
        <v>1</v>
      </c>
      <c r="K1028" s="25">
        <f>4</f>
        <v>4</v>
      </c>
      <c r="L1028" s="25">
        <f>0</f>
        <v>0</v>
      </c>
      <c r="M1028" s="25">
        <f>24</f>
        <v>24</v>
      </c>
      <c r="N1028" s="24" t="e">
        <f>M1028/L1028</f>
        <v>#DIV/0!</v>
      </c>
      <c r="O1028" s="23"/>
    </row>
    <row r="1029" spans="1:15" s="54" customFormat="1" x14ac:dyDescent="0.2">
      <c r="A1029" s="4"/>
      <c r="B1029" s="35" t="s">
        <v>1040</v>
      </c>
      <c r="C1029" s="2" t="s">
        <v>361</v>
      </c>
      <c r="D1029" s="7">
        <f>1</f>
        <v>1</v>
      </c>
      <c r="E1029" s="7"/>
      <c r="F1029" s="17">
        <f>2</f>
        <v>2</v>
      </c>
      <c r="G1029" s="17">
        <f>1</f>
        <v>1</v>
      </c>
      <c r="H1029" s="17">
        <v>6</v>
      </c>
      <c r="I1029" s="16">
        <f>H1029/(F1029-G1029)</f>
        <v>6</v>
      </c>
      <c r="J1029" s="17" t="s">
        <v>271</v>
      </c>
      <c r="K1029" s="25"/>
      <c r="L1029" s="25"/>
      <c r="M1029" s="25"/>
      <c r="N1029" s="24" t="e">
        <f>M1029/L1029</f>
        <v>#DIV/0!</v>
      </c>
      <c r="O1029" s="23"/>
    </row>
    <row r="1030" spans="1:15" s="54" customFormat="1" x14ac:dyDescent="0.2">
      <c r="A1030" s="4"/>
      <c r="B1030" s="34" t="s">
        <v>1041</v>
      </c>
      <c r="C1030" s="2" t="s">
        <v>207</v>
      </c>
      <c r="D1030" s="7">
        <f>3+1</f>
        <v>4</v>
      </c>
      <c r="E1030" s="7"/>
      <c r="F1030" s="17">
        <f>17+9</f>
        <v>26</v>
      </c>
      <c r="G1030" s="17">
        <f>3+1</f>
        <v>4</v>
      </c>
      <c r="H1030" s="17">
        <f>220+76</f>
        <v>296</v>
      </c>
      <c r="I1030" s="16">
        <f>H1030/(F1030-G1030)</f>
        <v>13.454545454545455</v>
      </c>
      <c r="J1030" s="17">
        <v>38</v>
      </c>
      <c r="K1030" s="25">
        <f>36+40</f>
        <v>76</v>
      </c>
      <c r="L1030" s="25">
        <f>6+7</f>
        <v>13</v>
      </c>
      <c r="M1030" s="25">
        <f>127+179</f>
        <v>306</v>
      </c>
      <c r="N1030" s="24">
        <f>M1030/L1030</f>
        <v>23.53846153846154</v>
      </c>
      <c r="O1030" s="23"/>
    </row>
    <row r="1031" spans="1:15" s="54" customFormat="1" x14ac:dyDescent="0.2">
      <c r="A1031" s="57">
        <v>1476950</v>
      </c>
      <c r="B1031" s="65" t="s">
        <v>2381</v>
      </c>
      <c r="C1031" s="58" t="s">
        <v>2382</v>
      </c>
      <c r="D1031" s="59">
        <f>2+3</f>
        <v>5</v>
      </c>
      <c r="E1031" s="59">
        <f>0</f>
        <v>0</v>
      </c>
      <c r="F1031" s="60">
        <f>12+6+3</f>
        <v>21</v>
      </c>
      <c r="G1031" s="60">
        <f>2+2</f>
        <v>4</v>
      </c>
      <c r="H1031" s="60">
        <f>72+21+27</f>
        <v>120</v>
      </c>
      <c r="I1031" s="61">
        <f>H1031/(F1031-G1031)</f>
        <v>7.0588235294117645</v>
      </c>
      <c r="J1031" s="60">
        <v>15</v>
      </c>
      <c r="K1031" s="62">
        <f>72+34.2+18</f>
        <v>124.2</v>
      </c>
      <c r="L1031" s="62">
        <f>17+3+2</f>
        <v>22</v>
      </c>
      <c r="M1031" s="62">
        <f>219+116+118</f>
        <v>453</v>
      </c>
      <c r="N1031" s="63">
        <f>M1031/L1031</f>
        <v>20.59090909090909</v>
      </c>
      <c r="O1031" s="66" t="s">
        <v>1802</v>
      </c>
    </row>
    <row r="1032" spans="1:15" s="54" customFormat="1" x14ac:dyDescent="0.2">
      <c r="A1032" s="4">
        <v>2186480</v>
      </c>
      <c r="B1032" s="35" t="s">
        <v>2588</v>
      </c>
      <c r="C1032" s="2" t="s">
        <v>1454</v>
      </c>
      <c r="D1032" s="7">
        <v>0</v>
      </c>
      <c r="E1032" s="7">
        <v>0</v>
      </c>
      <c r="F1032" s="17">
        <v>1</v>
      </c>
      <c r="G1032" s="17">
        <v>0</v>
      </c>
      <c r="H1032" s="17">
        <v>6</v>
      </c>
      <c r="I1032" s="16">
        <f>H1032/(F1032-G1032)</f>
        <v>6</v>
      </c>
      <c r="J1032" s="17">
        <v>6</v>
      </c>
      <c r="K1032" s="25">
        <v>0.3</v>
      </c>
      <c r="L1032" s="25">
        <v>0</v>
      </c>
      <c r="M1032" s="25">
        <v>7</v>
      </c>
      <c r="N1032" s="24" t="e">
        <f>M1032/L1032</f>
        <v>#DIV/0!</v>
      </c>
      <c r="O1032" s="49" t="s">
        <v>2455</v>
      </c>
    </row>
    <row r="1033" spans="1:15" s="54" customFormat="1" x14ac:dyDescent="0.2">
      <c r="A1033" s="4"/>
      <c r="B1033" s="35" t="s">
        <v>1042</v>
      </c>
      <c r="C1033" s="2" t="s">
        <v>95</v>
      </c>
      <c r="D1033" s="7">
        <v>8</v>
      </c>
      <c r="E1033" s="7"/>
      <c r="F1033" s="17">
        <v>28</v>
      </c>
      <c r="G1033" s="17">
        <v>5</v>
      </c>
      <c r="H1033" s="17">
        <v>627</v>
      </c>
      <c r="I1033" s="16">
        <f>H1033/(F1033-G1033)</f>
        <v>27.260869565217391</v>
      </c>
      <c r="J1033" s="17">
        <v>71</v>
      </c>
      <c r="K1033" s="25">
        <v>275</v>
      </c>
      <c r="L1033" s="25">
        <v>49</v>
      </c>
      <c r="M1033" s="25">
        <v>748</v>
      </c>
      <c r="N1033" s="24">
        <f>M1033/L1033</f>
        <v>15.26530612244898</v>
      </c>
      <c r="O1033" s="23"/>
    </row>
    <row r="1034" spans="1:15" s="54" customFormat="1" x14ac:dyDescent="0.2">
      <c r="A1034" s="4"/>
      <c r="B1034" s="2" t="s">
        <v>1043</v>
      </c>
      <c r="C1034" s="2" t="s">
        <v>12</v>
      </c>
      <c r="D1034" s="7">
        <v>7</v>
      </c>
      <c r="E1034" s="7"/>
      <c r="F1034" s="17">
        <v>7</v>
      </c>
      <c r="G1034" s="17">
        <v>3</v>
      </c>
      <c r="H1034" s="17">
        <v>13</v>
      </c>
      <c r="I1034" s="16">
        <f>H1034/(F1034-G1034)</f>
        <v>3.25</v>
      </c>
      <c r="J1034" s="17">
        <v>5</v>
      </c>
      <c r="K1034" s="25">
        <v>116</v>
      </c>
      <c r="L1034" s="25">
        <v>14</v>
      </c>
      <c r="M1034" s="25">
        <v>418</v>
      </c>
      <c r="N1034" s="24">
        <f>M1034/L1034</f>
        <v>29.857142857142858</v>
      </c>
      <c r="O1034" s="23"/>
    </row>
    <row r="1035" spans="1:15" s="54" customFormat="1" x14ac:dyDescent="0.2">
      <c r="A1035" s="4">
        <v>1561178</v>
      </c>
      <c r="B1035" s="2" t="s">
        <v>2161</v>
      </c>
      <c r="C1035" s="2" t="s">
        <v>2162</v>
      </c>
      <c r="D1035" s="7">
        <f>2</f>
        <v>2</v>
      </c>
      <c r="E1035" s="7"/>
      <c r="F1035" s="17">
        <f>14</f>
        <v>14</v>
      </c>
      <c r="G1035" s="17">
        <f>1</f>
        <v>1</v>
      </c>
      <c r="H1035" s="17">
        <f>142</f>
        <v>142</v>
      </c>
      <c r="I1035" s="16">
        <f>H1035/(F1035-G1035)</f>
        <v>10.923076923076923</v>
      </c>
      <c r="J1035" s="17">
        <f>49</f>
        <v>49</v>
      </c>
      <c r="K1035" s="25">
        <f>40</f>
        <v>40</v>
      </c>
      <c r="L1035" s="25">
        <f>4</f>
        <v>4</v>
      </c>
      <c r="M1035" s="25">
        <f>154</f>
        <v>154</v>
      </c>
      <c r="N1035" s="24">
        <f>M1035/L1035</f>
        <v>38.5</v>
      </c>
      <c r="O1035" s="49" t="s">
        <v>1391</v>
      </c>
    </row>
    <row r="1036" spans="1:15" s="54" customFormat="1" x14ac:dyDescent="0.2">
      <c r="A1036" s="84">
        <v>954773</v>
      </c>
      <c r="B1036" s="2" t="s">
        <v>1934</v>
      </c>
      <c r="C1036" s="2" t="s">
        <v>1935</v>
      </c>
      <c r="D1036" s="7">
        <f>0</f>
        <v>0</v>
      </c>
      <c r="E1036" s="7">
        <f>0</f>
        <v>0</v>
      </c>
      <c r="F1036" s="17">
        <f>1</f>
        <v>1</v>
      </c>
      <c r="G1036" s="17">
        <f>0</f>
        <v>0</v>
      </c>
      <c r="H1036" s="17">
        <f>11</f>
        <v>11</v>
      </c>
      <c r="I1036" s="16">
        <f>H1036/(F1036-G1036)</f>
        <v>11</v>
      </c>
      <c r="J1036" s="17">
        <v>11</v>
      </c>
      <c r="K1036" s="25">
        <f>3</f>
        <v>3</v>
      </c>
      <c r="L1036" s="25">
        <f>0</f>
        <v>0</v>
      </c>
      <c r="M1036" s="25">
        <f>7</f>
        <v>7</v>
      </c>
      <c r="N1036" s="24" t="e">
        <f>M1036/L1036</f>
        <v>#DIV/0!</v>
      </c>
      <c r="O1036" s="23"/>
    </row>
    <row r="1037" spans="1:15" s="54" customFormat="1" x14ac:dyDescent="0.2">
      <c r="A1037" s="64">
        <v>2266119</v>
      </c>
      <c r="B1037" s="58" t="s">
        <v>2556</v>
      </c>
      <c r="C1037" s="58" t="s">
        <v>2557</v>
      </c>
      <c r="D1037" s="59">
        <f>1+1</f>
        <v>2</v>
      </c>
      <c r="E1037" s="59">
        <v>0</v>
      </c>
      <c r="F1037" s="60">
        <f>5+7</f>
        <v>12</v>
      </c>
      <c r="G1037" s="60">
        <f>2+3</f>
        <v>5</v>
      </c>
      <c r="H1037" s="60">
        <f>14+55</f>
        <v>69</v>
      </c>
      <c r="I1037" s="61">
        <f>H1037/(F1037-G1037)</f>
        <v>9.8571428571428577</v>
      </c>
      <c r="J1037" s="60">
        <v>33</v>
      </c>
      <c r="K1037" s="62">
        <f>43+18</f>
        <v>61</v>
      </c>
      <c r="L1037" s="62">
        <f>9+5</f>
        <v>14</v>
      </c>
      <c r="M1037" s="62">
        <f>126+42</f>
        <v>168</v>
      </c>
      <c r="N1037" s="63">
        <f>M1037/L1037</f>
        <v>12</v>
      </c>
      <c r="O1037" s="66" t="s">
        <v>1463</v>
      </c>
    </row>
    <row r="1038" spans="1:15" s="54" customFormat="1" x14ac:dyDescent="0.2">
      <c r="A1038" s="4">
        <v>1044590</v>
      </c>
      <c r="B1038" s="2" t="s">
        <v>2163</v>
      </c>
      <c r="C1038" s="2" t="s">
        <v>2164</v>
      </c>
      <c r="D1038" s="7">
        <f>0</f>
        <v>0</v>
      </c>
      <c r="E1038" s="7"/>
      <c r="F1038" s="17">
        <f>2</f>
        <v>2</v>
      </c>
      <c r="G1038" s="17">
        <f>0</f>
        <v>0</v>
      </c>
      <c r="H1038" s="17">
        <f>1</f>
        <v>1</v>
      </c>
      <c r="I1038" s="16">
        <f>H1038/(F1038-G1038)</f>
        <v>0.5</v>
      </c>
      <c r="J1038" s="17">
        <v>1</v>
      </c>
      <c r="K1038" s="25"/>
      <c r="L1038" s="25"/>
      <c r="M1038" s="25"/>
      <c r="N1038" s="24" t="e">
        <f>M1038/L1038</f>
        <v>#DIV/0!</v>
      </c>
      <c r="O1038" s="23"/>
    </row>
    <row r="1039" spans="1:15" s="54" customFormat="1" x14ac:dyDescent="0.2">
      <c r="A1039" s="4">
        <v>1908046</v>
      </c>
      <c r="B1039" s="2" t="s">
        <v>2165</v>
      </c>
      <c r="C1039" s="2" t="s">
        <v>2166</v>
      </c>
      <c r="D1039" s="7">
        <f>0</f>
        <v>0</v>
      </c>
      <c r="E1039" s="7"/>
      <c r="F1039" s="17">
        <f>1</f>
        <v>1</v>
      </c>
      <c r="G1039" s="17">
        <f>0</f>
        <v>0</v>
      </c>
      <c r="H1039" s="17">
        <f>1</f>
        <v>1</v>
      </c>
      <c r="I1039" s="16">
        <f>H1039/(F1039-G1039)</f>
        <v>1</v>
      </c>
      <c r="J1039" s="17">
        <v>1</v>
      </c>
      <c r="K1039" s="25"/>
      <c r="L1039" s="25"/>
      <c r="M1039" s="25"/>
      <c r="N1039" s="24" t="e">
        <f>M1039/L1039</f>
        <v>#DIV/0!</v>
      </c>
      <c r="O1039" s="23"/>
    </row>
    <row r="1040" spans="1:15" s="54" customFormat="1" x14ac:dyDescent="0.2">
      <c r="A1040" s="4">
        <v>1931425</v>
      </c>
      <c r="B1040" s="2" t="s">
        <v>2517</v>
      </c>
      <c r="C1040" s="2" t="s">
        <v>2518</v>
      </c>
      <c r="D1040" s="7">
        <v>0</v>
      </c>
      <c r="E1040" s="7">
        <v>0</v>
      </c>
      <c r="F1040" s="17">
        <v>9</v>
      </c>
      <c r="G1040" s="17">
        <v>9</v>
      </c>
      <c r="H1040" s="17">
        <v>47</v>
      </c>
      <c r="I1040" s="16" t="e">
        <f>H1040/(F1040-G1040)</f>
        <v>#DIV/0!</v>
      </c>
      <c r="J1040" s="17" t="s">
        <v>366</v>
      </c>
      <c r="K1040" s="25">
        <v>32</v>
      </c>
      <c r="L1040" s="25">
        <v>8</v>
      </c>
      <c r="M1040" s="25">
        <v>98</v>
      </c>
      <c r="N1040" s="24">
        <f>M1040/L1040</f>
        <v>12.25</v>
      </c>
      <c r="O1040" s="49" t="s">
        <v>2462</v>
      </c>
    </row>
    <row r="1041" spans="1:15" s="54" customFormat="1" x14ac:dyDescent="0.2">
      <c r="A1041" s="4">
        <v>1455721</v>
      </c>
      <c r="B1041" s="2" t="s">
        <v>2167</v>
      </c>
      <c r="C1041" s="2" t="s">
        <v>2168</v>
      </c>
      <c r="D1041" s="7">
        <f>5</f>
        <v>5</v>
      </c>
      <c r="E1041" s="7"/>
      <c r="F1041" s="17">
        <f>12</f>
        <v>12</v>
      </c>
      <c r="G1041" s="17">
        <f>1</f>
        <v>1</v>
      </c>
      <c r="H1041" s="17">
        <f>134</f>
        <v>134</v>
      </c>
      <c r="I1041" s="16">
        <f>H1041/(F1041-G1041)</f>
        <v>12.181818181818182</v>
      </c>
      <c r="J1041" s="17" t="s">
        <v>406</v>
      </c>
      <c r="K1041" s="25">
        <f>66</f>
        <v>66</v>
      </c>
      <c r="L1041" s="25">
        <f>17</f>
        <v>17</v>
      </c>
      <c r="M1041" s="25">
        <f>238</f>
        <v>238</v>
      </c>
      <c r="N1041" s="24">
        <f>M1041/L1041</f>
        <v>14</v>
      </c>
      <c r="O1041" s="49" t="s">
        <v>2278</v>
      </c>
    </row>
    <row r="1042" spans="1:15" s="54" customFormat="1" x14ac:dyDescent="0.2">
      <c r="A1042" s="4">
        <v>1572239</v>
      </c>
      <c r="B1042" s="2" t="s">
        <v>2169</v>
      </c>
      <c r="C1042" s="2" t="s">
        <v>2170</v>
      </c>
      <c r="D1042" s="7">
        <f>0</f>
        <v>0</v>
      </c>
      <c r="E1042" s="7"/>
      <c r="F1042" s="17">
        <f>2</f>
        <v>2</v>
      </c>
      <c r="G1042" s="17">
        <f>0</f>
        <v>0</v>
      </c>
      <c r="H1042" s="17">
        <f>16</f>
        <v>16</v>
      </c>
      <c r="I1042" s="16">
        <f>H1042/(F1042-G1042)</f>
        <v>8</v>
      </c>
      <c r="J1042" s="17">
        <f>12</f>
        <v>12</v>
      </c>
      <c r="K1042" s="25"/>
      <c r="L1042" s="25"/>
      <c r="M1042" s="25"/>
      <c r="N1042" s="24" t="e">
        <f>M1042/L1042</f>
        <v>#DIV/0!</v>
      </c>
      <c r="O1042" s="23"/>
    </row>
    <row r="1043" spans="1:15" s="54" customFormat="1" x14ac:dyDescent="0.2">
      <c r="A1043" s="57">
        <v>1915181</v>
      </c>
      <c r="B1043" s="58" t="s">
        <v>2171</v>
      </c>
      <c r="C1043" s="58" t="s">
        <v>2172</v>
      </c>
      <c r="D1043" s="59">
        <f>2+22+18+5+1</f>
        <v>48</v>
      </c>
      <c r="E1043" s="59">
        <f>4+6+0</f>
        <v>10</v>
      </c>
      <c r="F1043" s="60">
        <f>12+13+11+7</f>
        <v>43</v>
      </c>
      <c r="G1043" s="60">
        <f>3+0+1</f>
        <v>4</v>
      </c>
      <c r="H1043" s="60">
        <f>156+297+135+44</f>
        <v>632</v>
      </c>
      <c r="I1043" s="61">
        <f>H1043/(F1043-G1043)</f>
        <v>16.205128205128204</v>
      </c>
      <c r="J1043" s="60">
        <v>83</v>
      </c>
      <c r="K1043" s="62">
        <f>3+2+3</f>
        <v>8</v>
      </c>
      <c r="L1043" s="62">
        <f>1+0</f>
        <v>1</v>
      </c>
      <c r="M1043" s="62">
        <f>21+14+13</f>
        <v>48</v>
      </c>
      <c r="N1043" s="63">
        <f>M1043/L1043</f>
        <v>48</v>
      </c>
      <c r="O1043" s="66" t="s">
        <v>1639</v>
      </c>
    </row>
    <row r="1044" spans="1:15" s="54" customFormat="1" x14ac:dyDescent="0.2">
      <c r="A1044" s="4">
        <v>1891173</v>
      </c>
      <c r="B1044" s="2" t="s">
        <v>2173</v>
      </c>
      <c r="C1044" s="2" t="s">
        <v>2174</v>
      </c>
      <c r="D1044" s="7">
        <f>10</f>
        <v>10</v>
      </c>
      <c r="E1044" s="7"/>
      <c r="F1044" s="17">
        <f>10</f>
        <v>10</v>
      </c>
      <c r="G1044" s="17">
        <f>0</f>
        <v>0</v>
      </c>
      <c r="H1044" s="17">
        <f>52</f>
        <v>52</v>
      </c>
      <c r="I1044" s="16">
        <f>H1044/(F1044-G1044)</f>
        <v>5.2</v>
      </c>
      <c r="J1044" s="17">
        <v>20</v>
      </c>
      <c r="K1044" s="25">
        <f>82</f>
        <v>82</v>
      </c>
      <c r="L1044" s="25">
        <f>18</f>
        <v>18</v>
      </c>
      <c r="M1044" s="25">
        <f>186</f>
        <v>186</v>
      </c>
      <c r="N1044" s="24">
        <f>M1044/L1044</f>
        <v>10.333333333333334</v>
      </c>
      <c r="O1044" s="49" t="s">
        <v>1375</v>
      </c>
    </row>
    <row r="1045" spans="1:15" s="54" customFormat="1" x14ac:dyDescent="0.2">
      <c r="A1045" s="4">
        <v>1890711</v>
      </c>
      <c r="B1045" s="2" t="s">
        <v>2175</v>
      </c>
      <c r="C1045" s="2" t="s">
        <v>2176</v>
      </c>
      <c r="D1045" s="7">
        <f>1</f>
        <v>1</v>
      </c>
      <c r="E1045" s="7"/>
      <c r="F1045" s="17">
        <f>8</f>
        <v>8</v>
      </c>
      <c r="G1045" s="17">
        <f>2</f>
        <v>2</v>
      </c>
      <c r="H1045" s="17">
        <f>19</f>
        <v>19</v>
      </c>
      <c r="I1045" s="16">
        <f>H1045/(F1045-G1045)</f>
        <v>3.1666666666666665</v>
      </c>
      <c r="J1045" s="17" t="s">
        <v>347</v>
      </c>
      <c r="K1045" s="25">
        <f>7</f>
        <v>7</v>
      </c>
      <c r="L1045" s="25">
        <f>0</f>
        <v>0</v>
      </c>
      <c r="M1045" s="25">
        <f>48</f>
        <v>48</v>
      </c>
      <c r="N1045" s="24" t="e">
        <f>M1045/L1045</f>
        <v>#DIV/0!</v>
      </c>
      <c r="O1045" s="49" t="s">
        <v>1634</v>
      </c>
    </row>
    <row r="1046" spans="1:15" s="54" customFormat="1" x14ac:dyDescent="0.2">
      <c r="A1046" s="4">
        <v>2194378</v>
      </c>
      <c r="B1046" s="2" t="s">
        <v>2625</v>
      </c>
      <c r="C1046" s="2" t="s">
        <v>2626</v>
      </c>
      <c r="D1046" s="7">
        <v>1</v>
      </c>
      <c r="E1046" s="7">
        <v>0</v>
      </c>
      <c r="F1046" s="17">
        <v>8</v>
      </c>
      <c r="G1046" s="17">
        <v>2</v>
      </c>
      <c r="H1046" s="17">
        <v>27</v>
      </c>
      <c r="I1046" s="16">
        <f>H1046/(F1046-G1046)</f>
        <v>4.5</v>
      </c>
      <c r="J1046" s="17" t="s">
        <v>401</v>
      </c>
      <c r="K1046" s="25">
        <v>3</v>
      </c>
      <c r="L1046" s="25">
        <v>0</v>
      </c>
      <c r="M1046" s="25">
        <v>15</v>
      </c>
      <c r="N1046" s="24" t="e">
        <f>M1046/L1046</f>
        <v>#DIV/0!</v>
      </c>
      <c r="O1046" s="49"/>
    </row>
    <row r="1047" spans="1:15" s="54" customFormat="1" x14ac:dyDescent="0.2">
      <c r="A1047" s="4"/>
      <c r="B1047" s="4" t="s">
        <v>1044</v>
      </c>
      <c r="C1047" s="2" t="s">
        <v>349</v>
      </c>
      <c r="D1047" s="7">
        <f>2</f>
        <v>2</v>
      </c>
      <c r="E1047" s="7"/>
      <c r="F1047" s="17">
        <f>4</f>
        <v>4</v>
      </c>
      <c r="G1047" s="17">
        <f>1</f>
        <v>1</v>
      </c>
      <c r="H1047" s="17">
        <f>8</f>
        <v>8</v>
      </c>
      <c r="I1047" s="16">
        <f>H1047/(F1047-G1047)</f>
        <v>2.6666666666666665</v>
      </c>
      <c r="J1047" s="17">
        <v>5</v>
      </c>
      <c r="K1047" s="25">
        <f>5</f>
        <v>5</v>
      </c>
      <c r="L1047" s="25">
        <f>0</f>
        <v>0</v>
      </c>
      <c r="M1047" s="25">
        <f>16</f>
        <v>16</v>
      </c>
      <c r="N1047" s="24" t="e">
        <f>M1047/L1047</f>
        <v>#DIV/0!</v>
      </c>
      <c r="O1047" s="23"/>
    </row>
    <row r="1048" spans="1:15" s="54" customFormat="1" x14ac:dyDescent="0.2">
      <c r="A1048" s="84">
        <v>1739928</v>
      </c>
      <c r="B1048" s="2" t="s">
        <v>1731</v>
      </c>
      <c r="C1048" s="2" t="s">
        <v>1732</v>
      </c>
      <c r="D1048" s="7">
        <f>0</f>
        <v>0</v>
      </c>
      <c r="E1048" s="7">
        <f>0</f>
        <v>0</v>
      </c>
      <c r="F1048" s="17">
        <f>1</f>
        <v>1</v>
      </c>
      <c r="G1048" s="17">
        <f>0</f>
        <v>0</v>
      </c>
      <c r="H1048" s="17">
        <f>5</f>
        <v>5</v>
      </c>
      <c r="I1048" s="16">
        <f>H1048/(F1048-G1048)</f>
        <v>5</v>
      </c>
      <c r="J1048" s="17">
        <v>5</v>
      </c>
      <c r="K1048" s="25">
        <f>2</f>
        <v>2</v>
      </c>
      <c r="L1048" s="25">
        <f>0</f>
        <v>0</v>
      </c>
      <c r="M1048" s="25">
        <f>21</f>
        <v>21</v>
      </c>
      <c r="N1048" s="24" t="e">
        <f>M1048/L1048</f>
        <v>#DIV/0!</v>
      </c>
      <c r="O1048" s="23"/>
    </row>
    <row r="1049" spans="1:15" s="54" customFormat="1" x14ac:dyDescent="0.2">
      <c r="A1049" s="84">
        <v>2276904</v>
      </c>
      <c r="B1049" s="2" t="s">
        <v>2519</v>
      </c>
      <c r="C1049" s="2" t="s">
        <v>2520</v>
      </c>
      <c r="D1049" s="7">
        <v>0</v>
      </c>
      <c r="E1049" s="7">
        <v>0</v>
      </c>
      <c r="F1049" s="17">
        <v>9</v>
      </c>
      <c r="G1049" s="17">
        <v>6</v>
      </c>
      <c r="H1049" s="17">
        <v>54</v>
      </c>
      <c r="I1049" s="16">
        <f>H1049/(F1049-G1049)</f>
        <v>18</v>
      </c>
      <c r="J1049" s="17" t="s">
        <v>400</v>
      </c>
      <c r="K1049" s="25">
        <v>23</v>
      </c>
      <c r="L1049" s="25">
        <v>5</v>
      </c>
      <c r="M1049" s="25">
        <v>106</v>
      </c>
      <c r="N1049" s="24">
        <f>M1049/L1049</f>
        <v>21.2</v>
      </c>
      <c r="O1049" s="49" t="s">
        <v>2270</v>
      </c>
    </row>
    <row r="1050" spans="1:15" s="54" customFormat="1" x14ac:dyDescent="0.2">
      <c r="A1050" s="84">
        <v>1124028</v>
      </c>
      <c r="B1050" s="2" t="s">
        <v>2177</v>
      </c>
      <c r="C1050" s="2" t="s">
        <v>2178</v>
      </c>
      <c r="D1050" s="7">
        <f>0</f>
        <v>0</v>
      </c>
      <c r="E1050" s="7"/>
      <c r="F1050" s="17">
        <f>2</f>
        <v>2</v>
      </c>
      <c r="G1050" s="17">
        <f>0</f>
        <v>0</v>
      </c>
      <c r="H1050" s="17">
        <f>3</f>
        <v>3</v>
      </c>
      <c r="I1050" s="16">
        <f>H1050/(F1050-G1050)</f>
        <v>1.5</v>
      </c>
      <c r="J1050" s="17">
        <v>3</v>
      </c>
      <c r="K1050" s="25"/>
      <c r="L1050" s="25"/>
      <c r="M1050" s="25"/>
      <c r="N1050" s="24" t="e">
        <f>M1050/L1050</f>
        <v>#DIV/0!</v>
      </c>
      <c r="O1050" s="23"/>
    </row>
    <row r="1051" spans="1:15" s="54" customFormat="1" x14ac:dyDescent="0.2">
      <c r="A1051" s="4">
        <v>678106</v>
      </c>
      <c r="B1051" s="2" t="s">
        <v>1045</v>
      </c>
      <c r="C1051" s="2" t="s">
        <v>390</v>
      </c>
      <c r="D1051" s="8">
        <f>56+6+4+2+2+3+5+4+1</f>
        <v>83</v>
      </c>
      <c r="E1051" s="7">
        <f>1+0+0+0+0+0+0</f>
        <v>1</v>
      </c>
      <c r="F1051" s="15">
        <f>2+1+1+2+1+1+1+1+1+1+1+1+13+2+14+18+17+14+13+2+1+1+11+2+14+9+5+6+3+5+3+4+12+9</f>
        <v>192</v>
      </c>
      <c r="G1051" s="15">
        <f>1+2+4+3+2+4+1+2+1+1+1+0+1+3+2+3+0+1+2+1+1+0</f>
        <v>36</v>
      </c>
      <c r="H1051" s="15">
        <f>8+3+19+3+51+0+0+16+1+9+21+18+113+12+390+311+110+754+200+7+0+122+5+64+43+27+33+76+15+40+21+109+102</f>
        <v>2703</v>
      </c>
      <c r="I1051" s="16">
        <f>H1051/(F1051-G1051)</f>
        <v>17.326923076923077</v>
      </c>
      <c r="J1051" s="17" t="s">
        <v>331</v>
      </c>
      <c r="K1051" s="23">
        <f>7+2+4+8+4+11+4+4+4+4+4+5+64+14+79+78+58+88+106+3+4+8+66+18.1+131+65+109.5+(0.4)+125.3+112.5+(0.4)+78+89+128.5+(0.4)+125.1+56</f>
        <v>1668.2</v>
      </c>
      <c r="L1051" s="23">
        <f>3+2+5+0+2+2+2+0+1+0+1+15+4+26+12+11+22+27+0+0+1+19+4+35+5+30+25+17+15+22+19+26+8</f>
        <v>361</v>
      </c>
      <c r="M1051" s="23">
        <f>40+2+19+8+11+7+3+9+11+7+13+12+81+20+90+221+172+217+267+26+31+25+219+56+428+230+297+331+321+245+269+304+623+244</f>
        <v>4859</v>
      </c>
      <c r="N1051" s="24">
        <f>M1051/L1051</f>
        <v>13.45983379501385</v>
      </c>
      <c r="O1051" s="49" t="s">
        <v>1383</v>
      </c>
    </row>
    <row r="1052" spans="1:15" s="54" customFormat="1" x14ac:dyDescent="0.2">
      <c r="A1052" s="4">
        <v>681781</v>
      </c>
      <c r="B1052" s="4" t="s">
        <v>1936</v>
      </c>
      <c r="C1052" s="2" t="s">
        <v>1937</v>
      </c>
      <c r="D1052" s="7">
        <f>1+2+0</f>
        <v>3</v>
      </c>
      <c r="E1052" s="7"/>
      <c r="F1052" s="17">
        <f>12+11+6+1</f>
        <v>30</v>
      </c>
      <c r="G1052" s="17">
        <f>2+1+2+0</f>
        <v>5</v>
      </c>
      <c r="H1052" s="17">
        <f>28+21+17+0</f>
        <v>66</v>
      </c>
      <c r="I1052" s="16">
        <f>H1052/(F1052-G1052)</f>
        <v>2.64</v>
      </c>
      <c r="J1052" s="17">
        <v>13</v>
      </c>
      <c r="K1052" s="25">
        <f>32+25+17.2</f>
        <v>74.2</v>
      </c>
      <c r="L1052" s="25">
        <f>4+4+2</f>
        <v>10</v>
      </c>
      <c r="M1052" s="25">
        <f>145+57</f>
        <v>202</v>
      </c>
      <c r="N1052" s="24">
        <f>M1052/L1052</f>
        <v>20.2</v>
      </c>
      <c r="O1052" s="23"/>
    </row>
    <row r="1053" spans="1:15" s="54" customFormat="1" x14ac:dyDescent="0.2">
      <c r="A1053" s="4"/>
      <c r="B1053" s="2" t="s">
        <v>1046</v>
      </c>
      <c r="C1053" s="2" t="s">
        <v>80</v>
      </c>
      <c r="D1053" s="7">
        <f>1+2+1</f>
        <v>4</v>
      </c>
      <c r="E1053" s="7"/>
      <c r="F1053" s="17">
        <f>12+11+2+5+3</f>
        <v>33</v>
      </c>
      <c r="G1053" s="17">
        <f>1+1+1</f>
        <v>3</v>
      </c>
      <c r="H1053" s="17">
        <f>355+34+2+15+10</f>
        <v>416</v>
      </c>
      <c r="I1053" s="16">
        <f>H1053/(F1053-G1053)</f>
        <v>13.866666666666667</v>
      </c>
      <c r="J1053" s="17">
        <v>55</v>
      </c>
      <c r="K1053" s="25">
        <f>26+22</f>
        <v>48</v>
      </c>
      <c r="L1053" s="25">
        <f>2+2</f>
        <v>4</v>
      </c>
      <c r="M1053" s="25">
        <f>72+36</f>
        <v>108</v>
      </c>
      <c r="N1053" s="24">
        <f>M1053/L1053</f>
        <v>27</v>
      </c>
      <c r="O1053" s="23"/>
    </row>
    <row r="1054" spans="1:15" s="54" customFormat="1" x14ac:dyDescent="0.2">
      <c r="A1054" s="57">
        <v>686646</v>
      </c>
      <c r="B1054" s="69" t="s">
        <v>1481</v>
      </c>
      <c r="C1054" s="58" t="s">
        <v>102</v>
      </c>
      <c r="D1054" s="59">
        <f>5+4</f>
        <v>9</v>
      </c>
      <c r="E1054" s="59">
        <f>0</f>
        <v>0</v>
      </c>
      <c r="F1054" s="60">
        <f>10+5</f>
        <v>15</v>
      </c>
      <c r="G1054" s="60">
        <f>3+4</f>
        <v>7</v>
      </c>
      <c r="H1054" s="60">
        <f>171+26</f>
        <v>197</v>
      </c>
      <c r="I1054" s="61">
        <f>H1054/(F1054-G1054)</f>
        <v>24.625</v>
      </c>
      <c r="J1054" s="60">
        <v>46</v>
      </c>
      <c r="K1054" s="62">
        <f>112+105.5</f>
        <v>217.5</v>
      </c>
      <c r="L1054" s="62">
        <f>31+16</f>
        <v>47</v>
      </c>
      <c r="M1054" s="62">
        <f>299+380</f>
        <v>679</v>
      </c>
      <c r="N1054" s="63">
        <f>M1054/L1054</f>
        <v>14.446808510638299</v>
      </c>
      <c r="O1054" s="78" t="s">
        <v>2472</v>
      </c>
    </row>
    <row r="1055" spans="1:15" s="54" customFormat="1" x14ac:dyDescent="0.2">
      <c r="A1055" s="4"/>
      <c r="B1055" s="2" t="s">
        <v>1047</v>
      </c>
      <c r="C1055" s="2" t="s">
        <v>164</v>
      </c>
      <c r="D1055" s="7">
        <f>1+8+10+4+4+7+9+7+7+6</f>
        <v>63</v>
      </c>
      <c r="E1055" s="7"/>
      <c r="F1055" s="17">
        <f>1+16+16+15+15+14+1+14+13+11+3+13+12</f>
        <v>144</v>
      </c>
      <c r="G1055" s="17">
        <f>2+1+3+2+2+1+2+0+0+3</f>
        <v>16</v>
      </c>
      <c r="H1055" s="17">
        <f>1+191+189+404+271+357+8+206+191+230+47+139+140</f>
        <v>2374</v>
      </c>
      <c r="I1055" s="16">
        <f>H1055/(F1055-G1055)</f>
        <v>18.546875</v>
      </c>
      <c r="J1055" s="17" t="s">
        <v>332</v>
      </c>
      <c r="K1055" s="25">
        <f>10+112+122+89+157+165+8+83+113+120+17+101+47</f>
        <v>1144</v>
      </c>
      <c r="L1055" s="25">
        <f>3+31+31+27+38+48+17+24+23+3+17+7</f>
        <v>269</v>
      </c>
      <c r="M1055" s="25">
        <f>28+383+370+349+282+435+22+250+331+407+60+369+137</f>
        <v>3423</v>
      </c>
      <c r="N1055" s="24">
        <f>M1055/L1055</f>
        <v>12.724907063197026</v>
      </c>
      <c r="O1055" s="23"/>
    </row>
    <row r="1056" spans="1:15" s="54" customFormat="1" x14ac:dyDescent="0.2">
      <c r="A1056" s="4"/>
      <c r="B1056" s="2" t="s">
        <v>1048</v>
      </c>
      <c r="C1056" s="2" t="s">
        <v>165</v>
      </c>
      <c r="D1056" s="7">
        <f>5+6+7+2+2+3+0</f>
        <v>25</v>
      </c>
      <c r="E1056" s="7"/>
      <c r="F1056" s="17">
        <f>19+11+12+10+11+11+11+1</f>
        <v>86</v>
      </c>
      <c r="G1056" s="17">
        <f>3+4+4+1+5+2+1+0</f>
        <v>20</v>
      </c>
      <c r="H1056" s="17">
        <f>184+103+106+96+135+113+81+13</f>
        <v>831</v>
      </c>
      <c r="I1056" s="16">
        <f>H1056/(F1056-G1056)</f>
        <v>12.590909090909092</v>
      </c>
      <c r="J1056" s="17">
        <v>43</v>
      </c>
      <c r="K1056" s="25">
        <f>30+66+95+54+92+76+67+8</f>
        <v>488</v>
      </c>
      <c r="L1056" s="25">
        <f>8+9+20+9+14+22+14+3</f>
        <v>99</v>
      </c>
      <c r="M1056" s="25">
        <f>136+292+280+174+323+297+257+23</f>
        <v>1782</v>
      </c>
      <c r="N1056" s="24">
        <f>M1056/L1056</f>
        <v>18</v>
      </c>
      <c r="O1056" s="23"/>
    </row>
    <row r="1057" spans="1:15" s="54" customFormat="1" x14ac:dyDescent="0.2">
      <c r="A1057" s="64">
        <v>1615376</v>
      </c>
      <c r="B1057" s="58" t="s">
        <v>1733</v>
      </c>
      <c r="C1057" s="58" t="s">
        <v>1734</v>
      </c>
      <c r="D1057" s="59">
        <f>6+3+4+1+4</f>
        <v>18</v>
      </c>
      <c r="E1057" s="59">
        <f>0+0+0+0</f>
        <v>0</v>
      </c>
      <c r="F1057" s="60">
        <f>13+9+15+10+12+11</f>
        <v>70</v>
      </c>
      <c r="G1057" s="60">
        <f>2+2+2+1+0</f>
        <v>7</v>
      </c>
      <c r="H1057" s="60">
        <f>150+109+316+218+239+180</f>
        <v>1212</v>
      </c>
      <c r="I1057" s="61">
        <f>H1057/(F1057-G1057)</f>
        <v>19.238095238095237</v>
      </c>
      <c r="J1057" s="60">
        <v>87</v>
      </c>
      <c r="K1057" s="62">
        <f>143+76+102.5+49.3+(0.4)+72.4+0.4+87.2</f>
        <v>531.20000000000005</v>
      </c>
      <c r="L1057" s="62">
        <f>37+18+25+12+16+17</f>
        <v>125</v>
      </c>
      <c r="M1057" s="62">
        <f>396+181+379+149+257</f>
        <v>1362</v>
      </c>
      <c r="N1057" s="63">
        <f>M1057/L1057</f>
        <v>10.896000000000001</v>
      </c>
      <c r="O1057" s="66" t="s">
        <v>2465</v>
      </c>
    </row>
    <row r="1058" spans="1:15" s="54" customFormat="1" x14ac:dyDescent="0.2">
      <c r="A1058" s="4"/>
      <c r="B1058" s="4" t="s">
        <v>1049</v>
      </c>
      <c r="C1058" s="2" t="s">
        <v>333</v>
      </c>
      <c r="D1058" s="7">
        <f>5</f>
        <v>5</v>
      </c>
      <c r="E1058" s="7"/>
      <c r="F1058" s="17">
        <f>4</f>
        <v>4</v>
      </c>
      <c r="G1058" s="17">
        <f>1</f>
        <v>1</v>
      </c>
      <c r="H1058" s="17">
        <f>53</f>
        <v>53</v>
      </c>
      <c r="I1058" s="16">
        <f>H1058/(F1058-G1058)</f>
        <v>17.666666666666668</v>
      </c>
      <c r="J1058" s="17">
        <v>23</v>
      </c>
      <c r="K1058" s="25"/>
      <c r="L1058" s="25"/>
      <c r="M1058" s="25"/>
      <c r="N1058" s="24" t="e">
        <f>M1058/L1058</f>
        <v>#DIV/0!</v>
      </c>
      <c r="O1058" s="23"/>
    </row>
    <row r="1059" spans="1:15" s="54" customFormat="1" x14ac:dyDescent="0.2">
      <c r="A1059" s="4"/>
      <c r="B1059" s="2" t="s">
        <v>1050</v>
      </c>
      <c r="C1059" s="2" t="s">
        <v>16</v>
      </c>
      <c r="D1059" s="7">
        <v>20</v>
      </c>
      <c r="E1059" s="7"/>
      <c r="F1059" s="17">
        <v>29</v>
      </c>
      <c r="G1059" s="17">
        <v>2</v>
      </c>
      <c r="H1059" s="17">
        <v>530</v>
      </c>
      <c r="I1059" s="16">
        <f>H1059/(F1059-G1059)</f>
        <v>19.62962962962963</v>
      </c>
      <c r="J1059" s="17">
        <v>60</v>
      </c>
      <c r="K1059" s="25">
        <v>2</v>
      </c>
      <c r="L1059" s="25"/>
      <c r="M1059" s="25">
        <v>18</v>
      </c>
      <c r="N1059" s="24" t="e">
        <f>M1059/L1059</f>
        <v>#DIV/0!</v>
      </c>
      <c r="O1059" s="23"/>
    </row>
    <row r="1060" spans="1:15" s="54" customFormat="1" x14ac:dyDescent="0.2">
      <c r="A1060" s="4"/>
      <c r="B1060" s="2" t="s">
        <v>1051</v>
      </c>
      <c r="C1060" s="2" t="s">
        <v>9</v>
      </c>
      <c r="D1060" s="7">
        <v>6</v>
      </c>
      <c r="E1060" s="7"/>
      <c r="F1060" s="17">
        <v>25</v>
      </c>
      <c r="G1060" s="17">
        <v>2</v>
      </c>
      <c r="H1060" s="17">
        <v>793</v>
      </c>
      <c r="I1060" s="16">
        <f>H1060/(F1060-G1060)</f>
        <v>34.478260869565219</v>
      </c>
      <c r="J1060" s="17">
        <v>75</v>
      </c>
      <c r="K1060" s="25">
        <v>209</v>
      </c>
      <c r="L1060" s="25">
        <v>33</v>
      </c>
      <c r="M1060" s="25">
        <v>670</v>
      </c>
      <c r="N1060" s="24">
        <f>M1060/L1060</f>
        <v>20.303030303030305</v>
      </c>
      <c r="O1060" s="23"/>
    </row>
    <row r="1061" spans="1:15" s="54" customFormat="1" x14ac:dyDescent="0.2">
      <c r="A1061" s="84">
        <v>885483</v>
      </c>
      <c r="B1061" s="2" t="s">
        <v>1938</v>
      </c>
      <c r="C1061" s="2" t="s">
        <v>1939</v>
      </c>
      <c r="D1061" s="7">
        <f>3</f>
        <v>3</v>
      </c>
      <c r="E1061" s="7">
        <f>0</f>
        <v>0</v>
      </c>
      <c r="F1061" s="17">
        <f>5</f>
        <v>5</v>
      </c>
      <c r="G1061" s="17">
        <f>0</f>
        <v>0</v>
      </c>
      <c r="H1061" s="17">
        <f>62</f>
        <v>62</v>
      </c>
      <c r="I1061" s="16">
        <f>H1061/(F1061-G1061)</f>
        <v>12.4</v>
      </c>
      <c r="J1061" s="17">
        <v>21</v>
      </c>
      <c r="K1061" s="25">
        <f>71.5</f>
        <v>71.5</v>
      </c>
      <c r="L1061" s="25">
        <f>16</f>
        <v>16</v>
      </c>
      <c r="M1061" s="25">
        <f>201</f>
        <v>201</v>
      </c>
      <c r="N1061" s="24">
        <f>M1061/L1061</f>
        <v>12.5625</v>
      </c>
      <c r="O1061" s="49" t="s">
        <v>1813</v>
      </c>
    </row>
    <row r="1062" spans="1:15" s="54" customFormat="1" x14ac:dyDescent="0.2">
      <c r="A1062" s="4"/>
      <c r="B1062" s="4" t="s">
        <v>1052</v>
      </c>
      <c r="C1062" s="2" t="s">
        <v>253</v>
      </c>
      <c r="D1062" s="7">
        <f>1+3</f>
        <v>4</v>
      </c>
      <c r="E1062" s="7"/>
      <c r="F1062" s="17">
        <f>6+5</f>
        <v>11</v>
      </c>
      <c r="G1062" s="17">
        <f>1+0</f>
        <v>1</v>
      </c>
      <c r="H1062" s="17">
        <f>34+26</f>
        <v>60</v>
      </c>
      <c r="I1062" s="16">
        <f>H1062/(F1062-G1062)</f>
        <v>6</v>
      </c>
      <c r="J1062" s="17">
        <v>22</v>
      </c>
      <c r="K1062" s="25">
        <f>67+12</f>
        <v>79</v>
      </c>
      <c r="L1062" s="25">
        <f>7+1</f>
        <v>8</v>
      </c>
      <c r="M1062" s="25">
        <f>152+30</f>
        <v>182</v>
      </c>
      <c r="N1062" s="24">
        <f>M1062/L1062</f>
        <v>22.75</v>
      </c>
      <c r="O1062" s="23"/>
    </row>
    <row r="1063" spans="1:15" s="54" customFormat="1" x14ac:dyDescent="0.2">
      <c r="A1063" s="4"/>
      <c r="B1063" s="2" t="s">
        <v>1053</v>
      </c>
      <c r="C1063" s="2" t="s">
        <v>12</v>
      </c>
      <c r="D1063" s="7">
        <v>19</v>
      </c>
      <c r="E1063" s="7"/>
      <c r="F1063" s="17">
        <v>42</v>
      </c>
      <c r="G1063" s="17">
        <v>3</v>
      </c>
      <c r="H1063" s="17">
        <v>841</v>
      </c>
      <c r="I1063" s="16">
        <f>H1063/(F1063-G1063)</f>
        <v>21.564102564102566</v>
      </c>
      <c r="J1063" s="17">
        <v>56</v>
      </c>
      <c r="K1063" s="25">
        <v>3</v>
      </c>
      <c r="L1063" s="25">
        <v>1</v>
      </c>
      <c r="M1063" s="25">
        <v>10</v>
      </c>
      <c r="N1063" s="24">
        <f>M1063/L1063</f>
        <v>10</v>
      </c>
      <c r="O1063" s="23"/>
    </row>
    <row r="1064" spans="1:15" s="54" customFormat="1" x14ac:dyDescent="0.2">
      <c r="A1064" s="4"/>
      <c r="B1064" s="2" t="s">
        <v>1054</v>
      </c>
      <c r="C1064" s="2" t="s">
        <v>8</v>
      </c>
      <c r="D1064" s="7">
        <v>52</v>
      </c>
      <c r="E1064" s="7">
        <v>5</v>
      </c>
      <c r="F1064" s="17">
        <v>87</v>
      </c>
      <c r="G1064" s="17">
        <v>1</v>
      </c>
      <c r="H1064" s="17">
        <v>2686</v>
      </c>
      <c r="I1064" s="16">
        <f>H1064/(F1064-G1064)</f>
        <v>31.232558139534884</v>
      </c>
      <c r="J1064" s="17">
        <v>125</v>
      </c>
      <c r="K1064" s="25">
        <v>13</v>
      </c>
      <c r="L1064" s="25">
        <v>4</v>
      </c>
      <c r="M1064" s="25">
        <v>71</v>
      </c>
      <c r="N1064" s="24">
        <f>M1064/L1064</f>
        <v>17.75</v>
      </c>
      <c r="O1064" s="23"/>
    </row>
    <row r="1065" spans="1:15" s="54" customFormat="1" x14ac:dyDescent="0.2">
      <c r="A1065" s="4"/>
      <c r="B1065" s="2" t="s">
        <v>1055</v>
      </c>
      <c r="C1065" s="2" t="s">
        <v>16</v>
      </c>
      <c r="D1065" s="7">
        <f>3+1</f>
        <v>4</v>
      </c>
      <c r="E1065" s="7"/>
      <c r="F1065" s="17">
        <f>11+7</f>
        <v>18</v>
      </c>
      <c r="G1065" s="17">
        <f>1+1</f>
        <v>2</v>
      </c>
      <c r="H1065" s="17">
        <f>34+7</f>
        <v>41</v>
      </c>
      <c r="I1065" s="16">
        <f>H1065/(F1065-G1065)</f>
        <v>2.5625</v>
      </c>
      <c r="J1065" s="17">
        <v>23</v>
      </c>
      <c r="K1065" s="25">
        <v>5</v>
      </c>
      <c r="L1065" s="25">
        <v>2</v>
      </c>
      <c r="M1065" s="25">
        <v>27</v>
      </c>
      <c r="N1065" s="24">
        <f>M1065/L1065</f>
        <v>13.5</v>
      </c>
      <c r="O1065" s="23"/>
    </row>
    <row r="1066" spans="1:15" s="54" customFormat="1" x14ac:dyDescent="0.2">
      <c r="A1066" s="4"/>
      <c r="B1066" s="2" t="s">
        <v>1056</v>
      </c>
      <c r="C1066" s="2" t="s">
        <v>107</v>
      </c>
      <c r="D1066" s="7">
        <f>14+2+1+2+2+2+3</f>
        <v>26</v>
      </c>
      <c r="E1066" s="7"/>
      <c r="F1066" s="17">
        <f>66+9+9+14+12+2+10+6</f>
        <v>128</v>
      </c>
      <c r="G1066" s="17">
        <v>15</v>
      </c>
      <c r="H1066" s="17">
        <f>455+108+97+197+223+6+25+34</f>
        <v>1145</v>
      </c>
      <c r="I1066" s="16">
        <f>H1066/(F1066-G1066)</f>
        <v>10.132743362831858</v>
      </c>
      <c r="J1066" s="17">
        <v>68</v>
      </c>
      <c r="K1066" s="25">
        <f>155+74+38+65+30+14+8</f>
        <v>384</v>
      </c>
      <c r="L1066" s="25">
        <f>26+28+2+14+8+4+3</f>
        <v>85</v>
      </c>
      <c r="M1066" s="25">
        <f>382+189+153+283+155+81+41</f>
        <v>1284</v>
      </c>
      <c r="N1066" s="24">
        <f>M1066/L1066</f>
        <v>15.105882352941176</v>
      </c>
      <c r="O1066" s="23"/>
    </row>
    <row r="1067" spans="1:15" s="54" customFormat="1" x14ac:dyDescent="0.2">
      <c r="A1067" s="4"/>
      <c r="B1067" s="2" t="s">
        <v>1057</v>
      </c>
      <c r="C1067" s="2" t="s">
        <v>134</v>
      </c>
      <c r="D1067" s="7">
        <f>3+7+1+4</f>
        <v>15</v>
      </c>
      <c r="E1067" s="7"/>
      <c r="F1067" s="17">
        <f>10+14+1+3</f>
        <v>28</v>
      </c>
      <c r="G1067" s="17">
        <f>1+1</f>
        <v>2</v>
      </c>
      <c r="H1067" s="17">
        <f>107+203+16+69</f>
        <v>395</v>
      </c>
      <c r="I1067" s="16">
        <f>H1067/(F1067-G1067)</f>
        <v>15.192307692307692</v>
      </c>
      <c r="J1067" s="17">
        <v>49</v>
      </c>
      <c r="K1067" s="25">
        <v>1</v>
      </c>
      <c r="L1067" s="25">
        <v>0</v>
      </c>
      <c r="M1067" s="25">
        <v>9</v>
      </c>
      <c r="N1067" s="24" t="e">
        <f>M1067/L1067</f>
        <v>#DIV/0!</v>
      </c>
      <c r="O1067" s="23"/>
    </row>
    <row r="1068" spans="1:15" s="54" customFormat="1" x14ac:dyDescent="0.2">
      <c r="A1068" s="4"/>
      <c r="B1068" s="2" t="s">
        <v>1058</v>
      </c>
      <c r="C1068" s="2" t="s">
        <v>108</v>
      </c>
      <c r="D1068" s="7">
        <v>2</v>
      </c>
      <c r="E1068" s="7"/>
      <c r="F1068" s="17">
        <f>3+3</f>
        <v>6</v>
      </c>
      <c r="G1068" s="17">
        <f>2+2</f>
        <v>4</v>
      </c>
      <c r="H1068" s="17">
        <v>7</v>
      </c>
      <c r="I1068" s="16">
        <f>H1068/(F1068-G1068)</f>
        <v>3.5</v>
      </c>
      <c r="J1068" s="17" t="s">
        <v>271</v>
      </c>
      <c r="K1068" s="25"/>
      <c r="L1068" s="25"/>
      <c r="M1068" s="25"/>
      <c r="N1068" s="24" t="e">
        <f>M1068/L1068</f>
        <v>#DIV/0!</v>
      </c>
      <c r="O1068" s="23"/>
    </row>
    <row r="1069" spans="1:15" s="54" customFormat="1" x14ac:dyDescent="0.2">
      <c r="A1069" s="84">
        <v>1441052</v>
      </c>
      <c r="B1069" s="86" t="s">
        <v>1569</v>
      </c>
      <c r="C1069" s="2" t="s">
        <v>1570</v>
      </c>
      <c r="D1069" s="7">
        <f>4</f>
        <v>4</v>
      </c>
      <c r="E1069" s="7">
        <f>0</f>
        <v>0</v>
      </c>
      <c r="F1069" s="17">
        <f>3</f>
        <v>3</v>
      </c>
      <c r="G1069" s="17">
        <f>0</f>
        <v>0</v>
      </c>
      <c r="H1069" s="17">
        <f>39</f>
        <v>39</v>
      </c>
      <c r="I1069" s="16">
        <f>H1069/(F1069-G1069)</f>
        <v>13</v>
      </c>
      <c r="J1069" s="17">
        <v>24</v>
      </c>
      <c r="K1069" s="25">
        <f>9</f>
        <v>9</v>
      </c>
      <c r="L1069" s="25">
        <f>2</f>
        <v>2</v>
      </c>
      <c r="M1069" s="25">
        <f>65</f>
        <v>65</v>
      </c>
      <c r="N1069" s="24">
        <f>M1069/L1069</f>
        <v>32.5</v>
      </c>
      <c r="O1069" s="49" t="s">
        <v>1475</v>
      </c>
    </row>
    <row r="1070" spans="1:15" s="54" customFormat="1" x14ac:dyDescent="0.2">
      <c r="A1070" s="4">
        <v>1047147</v>
      </c>
      <c r="B1070" s="2" t="s">
        <v>1310</v>
      </c>
      <c r="C1070" s="2" t="s">
        <v>98</v>
      </c>
      <c r="D1070" s="7">
        <f>1+0+0+1</f>
        <v>2</v>
      </c>
      <c r="E1070" s="7">
        <f>0+0+0+0</f>
        <v>0</v>
      </c>
      <c r="F1070" s="17">
        <f>9+1</f>
        <v>10</v>
      </c>
      <c r="G1070" s="17">
        <f>1+0</f>
        <v>1</v>
      </c>
      <c r="H1070" s="17">
        <f>23+4</f>
        <v>27</v>
      </c>
      <c r="I1070" s="16">
        <f>H1070/(F1070-G1070)</f>
        <v>3</v>
      </c>
      <c r="J1070" s="17" t="s">
        <v>366</v>
      </c>
      <c r="K1070" s="25">
        <f>21+7+8+2</f>
        <v>38</v>
      </c>
      <c r="L1070" s="25">
        <f>1+0+2+0</f>
        <v>3</v>
      </c>
      <c r="M1070" s="25">
        <f>135+33+10+15</f>
        <v>193</v>
      </c>
      <c r="N1070" s="24">
        <f>M1070/L1070</f>
        <v>64.333333333333329</v>
      </c>
      <c r="O1070" s="49" t="s">
        <v>1799</v>
      </c>
    </row>
    <row r="1071" spans="1:15" s="54" customFormat="1" x14ac:dyDescent="0.2">
      <c r="A1071" s="4"/>
      <c r="B1071" s="2" t="s">
        <v>1059</v>
      </c>
      <c r="C1071" s="2" t="s">
        <v>109</v>
      </c>
      <c r="D1071" s="7">
        <f>53+5+3+9</f>
        <v>70</v>
      </c>
      <c r="E1071" s="7"/>
      <c r="F1071" s="17">
        <f>133+6+10+12</f>
        <v>161</v>
      </c>
      <c r="G1071" s="17">
        <f>27+1+1</f>
        <v>29</v>
      </c>
      <c r="H1071" s="17">
        <f>2954+125+269+350</f>
        <v>3698</v>
      </c>
      <c r="I1071" s="16">
        <f>H1071/(F1071-G1071)</f>
        <v>28.015151515151516</v>
      </c>
      <c r="J1071" s="17">
        <v>114</v>
      </c>
      <c r="K1071" s="25">
        <f>979+21+38</f>
        <v>1038</v>
      </c>
      <c r="L1071" s="25">
        <f>169+1+7</f>
        <v>177</v>
      </c>
      <c r="M1071" s="25">
        <f>3062+110+127</f>
        <v>3299</v>
      </c>
      <c r="N1071" s="24">
        <f>M1071/L1071</f>
        <v>18.638418079096045</v>
      </c>
      <c r="O1071" s="23"/>
    </row>
    <row r="1072" spans="1:15" s="54" customFormat="1" x14ac:dyDescent="0.2">
      <c r="A1072" s="4"/>
      <c r="B1072" s="2" t="s">
        <v>1060</v>
      </c>
      <c r="C1072" s="2" t="s">
        <v>13</v>
      </c>
      <c r="D1072" s="7">
        <v>1</v>
      </c>
      <c r="E1072" s="7"/>
      <c r="F1072" s="17">
        <v>5</v>
      </c>
      <c r="G1072" s="17">
        <v>0</v>
      </c>
      <c r="H1072" s="17">
        <v>2</v>
      </c>
      <c r="I1072" s="16">
        <f>H1072/(F1072-G1072)</f>
        <v>0.4</v>
      </c>
      <c r="J1072" s="17">
        <v>2</v>
      </c>
      <c r="K1072" s="25">
        <v>2</v>
      </c>
      <c r="L1072" s="25">
        <v>0</v>
      </c>
      <c r="M1072" s="25">
        <v>17</v>
      </c>
      <c r="N1072" s="24" t="e">
        <f>M1072/L1072</f>
        <v>#DIV/0!</v>
      </c>
      <c r="O1072" s="23"/>
    </row>
    <row r="1073" spans="1:15" s="54" customFormat="1" x14ac:dyDescent="0.2">
      <c r="A1073" s="4">
        <v>1147948</v>
      </c>
      <c r="B1073" s="52" t="s">
        <v>1486</v>
      </c>
      <c r="C1073" s="2" t="s">
        <v>300</v>
      </c>
      <c r="D1073" s="7">
        <f>1</f>
        <v>1</v>
      </c>
      <c r="E1073" s="7">
        <f>0</f>
        <v>0</v>
      </c>
      <c r="F1073" s="17"/>
      <c r="G1073" s="17"/>
      <c r="H1073" s="17"/>
      <c r="I1073" s="16" t="e">
        <f>H1073/(F1073-G1073)</f>
        <v>#DIV/0!</v>
      </c>
      <c r="J1073" s="17"/>
      <c r="K1073" s="25">
        <f>4</f>
        <v>4</v>
      </c>
      <c r="L1073" s="25">
        <f>0</f>
        <v>0</v>
      </c>
      <c r="M1073" s="25">
        <f>9</f>
        <v>9</v>
      </c>
      <c r="N1073" s="24" t="e">
        <f>M1073/L1073</f>
        <v>#DIV/0!</v>
      </c>
      <c r="O1073" s="49" t="s">
        <v>1506</v>
      </c>
    </row>
    <row r="1074" spans="1:15" s="54" customFormat="1" x14ac:dyDescent="0.2">
      <c r="A1074" s="4"/>
      <c r="B1074" s="2" t="s">
        <v>1062</v>
      </c>
      <c r="C1074" s="2" t="s">
        <v>88</v>
      </c>
      <c r="D1074" s="7">
        <f>0</f>
        <v>0</v>
      </c>
      <c r="E1074" s="7"/>
      <c r="F1074" s="17"/>
      <c r="G1074" s="17"/>
      <c r="H1074" s="17"/>
      <c r="I1074" s="16" t="e">
        <f>H1074/(F1074-G1074)</f>
        <v>#DIV/0!</v>
      </c>
      <c r="J1074" s="17"/>
      <c r="K1074" s="25"/>
      <c r="L1074" s="25"/>
      <c r="M1074" s="25"/>
      <c r="N1074" s="24" t="e">
        <f>M1074/L1074</f>
        <v>#DIV/0!</v>
      </c>
      <c r="O1074" s="23"/>
    </row>
    <row r="1075" spans="1:15" s="54" customFormat="1" x14ac:dyDescent="0.2">
      <c r="A1075" s="4"/>
      <c r="B1075" s="2" t="s">
        <v>1061</v>
      </c>
      <c r="C1075" s="2" t="s">
        <v>20</v>
      </c>
      <c r="D1075" s="7">
        <v>8</v>
      </c>
      <c r="E1075" s="7"/>
      <c r="F1075" s="17">
        <v>34</v>
      </c>
      <c r="G1075" s="17">
        <v>3</v>
      </c>
      <c r="H1075" s="17">
        <v>429</v>
      </c>
      <c r="I1075" s="16">
        <f>H1075/(F1075-G1075)</f>
        <v>13.838709677419354</v>
      </c>
      <c r="J1075" s="17">
        <v>50</v>
      </c>
      <c r="K1075" s="25">
        <v>173.1</v>
      </c>
      <c r="L1075" s="25">
        <v>31</v>
      </c>
      <c r="M1075" s="25">
        <v>592</v>
      </c>
      <c r="N1075" s="24">
        <f>M1075/L1075</f>
        <v>19.096774193548388</v>
      </c>
      <c r="O1075" s="23"/>
    </row>
    <row r="1076" spans="1:15" s="54" customFormat="1" x14ac:dyDescent="0.2">
      <c r="A1076" s="4"/>
      <c r="B1076" s="4" t="s">
        <v>1063</v>
      </c>
      <c r="C1076" s="2" t="s">
        <v>145</v>
      </c>
      <c r="D1076" s="7">
        <f>0+1</f>
        <v>1</v>
      </c>
      <c r="E1076" s="7"/>
      <c r="F1076" s="17">
        <f>14+7</f>
        <v>21</v>
      </c>
      <c r="G1076" s="17">
        <f>7+2</f>
        <v>9</v>
      </c>
      <c r="H1076" s="17">
        <f>151+54</f>
        <v>205</v>
      </c>
      <c r="I1076" s="16">
        <f>H1076/(F1076-G1076)</f>
        <v>17.083333333333332</v>
      </c>
      <c r="J1076" s="17">
        <v>47</v>
      </c>
      <c r="K1076" s="25">
        <f>141+85</f>
        <v>226</v>
      </c>
      <c r="L1076" s="25">
        <f>47+14</f>
        <v>61</v>
      </c>
      <c r="M1076" s="25">
        <f>434+382</f>
        <v>816</v>
      </c>
      <c r="N1076" s="24">
        <f>M1076/L1076</f>
        <v>13.377049180327869</v>
      </c>
      <c r="O1076" s="23"/>
    </row>
    <row r="1077" spans="1:15" s="54" customFormat="1" x14ac:dyDescent="0.2">
      <c r="A1077" s="4"/>
      <c r="B1077" s="2" t="s">
        <v>1064</v>
      </c>
      <c r="C1077" s="2" t="s">
        <v>13</v>
      </c>
      <c r="D1077" s="7">
        <v>1</v>
      </c>
      <c r="E1077" s="7"/>
      <c r="F1077" s="17">
        <f>11+12</f>
        <v>23</v>
      </c>
      <c r="G1077" s="17">
        <f>2+1</f>
        <v>3</v>
      </c>
      <c r="H1077" s="17">
        <f>22+18</f>
        <v>40</v>
      </c>
      <c r="I1077" s="16">
        <f>H1077/(F1077-G1077)</f>
        <v>2</v>
      </c>
      <c r="J1077" s="17">
        <v>4</v>
      </c>
      <c r="K1077" s="25">
        <v>11</v>
      </c>
      <c r="L1077" s="25">
        <v>2</v>
      </c>
      <c r="M1077" s="25">
        <v>46</v>
      </c>
      <c r="N1077" s="24">
        <f>M1077/L1077</f>
        <v>23</v>
      </c>
      <c r="O1077" s="23"/>
    </row>
    <row r="1078" spans="1:15" s="54" customFormat="1" x14ac:dyDescent="0.2">
      <c r="A1078" s="84">
        <v>776165</v>
      </c>
      <c r="B1078" s="2" t="s">
        <v>1735</v>
      </c>
      <c r="C1078" s="2" t="s">
        <v>1736</v>
      </c>
      <c r="D1078" s="7">
        <f>3+1+0+1</f>
        <v>5</v>
      </c>
      <c r="E1078" s="7">
        <f>0+0+0</f>
        <v>0</v>
      </c>
      <c r="F1078" s="17">
        <f>12+9+9+11</f>
        <v>41</v>
      </c>
      <c r="G1078" s="17">
        <f>3+0+0+1</f>
        <v>4</v>
      </c>
      <c r="H1078" s="17">
        <f>366+225+100+71</f>
        <v>762</v>
      </c>
      <c r="I1078" s="16">
        <f>H1078/(F1078-G1078)</f>
        <v>20.594594594594593</v>
      </c>
      <c r="J1078" s="17">
        <v>80</v>
      </c>
      <c r="K1078" s="25">
        <f>107.1+80.4+46+65</f>
        <v>298.5</v>
      </c>
      <c r="L1078" s="25">
        <f>26+23+11+9</f>
        <v>69</v>
      </c>
      <c r="M1078" s="25">
        <f>257+199+183+406</f>
        <v>1045</v>
      </c>
      <c r="N1078" s="24">
        <f>M1078/L1078</f>
        <v>15.144927536231885</v>
      </c>
      <c r="O1078" s="49" t="s">
        <v>2031</v>
      </c>
    </row>
    <row r="1079" spans="1:15" s="54" customFormat="1" x14ac:dyDescent="0.2">
      <c r="A1079" s="4"/>
      <c r="B1079" s="2" t="s">
        <v>1065</v>
      </c>
      <c r="C1079" s="2" t="s">
        <v>99</v>
      </c>
      <c r="D1079" s="7">
        <v>1</v>
      </c>
      <c r="E1079" s="7"/>
      <c r="F1079" s="17">
        <f>6+2+6</f>
        <v>14</v>
      </c>
      <c r="G1079" s="17">
        <f>1+1+3</f>
        <v>5</v>
      </c>
      <c r="H1079" s="17">
        <f>5+16</f>
        <v>21</v>
      </c>
      <c r="I1079" s="16">
        <f>H1079/(F1079-G1079)</f>
        <v>2.3333333333333335</v>
      </c>
      <c r="J1079" s="17">
        <f>5+2</f>
        <v>7</v>
      </c>
      <c r="K1079" s="25">
        <f>5+235+46</f>
        <v>286</v>
      </c>
      <c r="L1079" s="25">
        <f>5+8+10</f>
        <v>23</v>
      </c>
      <c r="M1079" s="25">
        <f>204+76+112</f>
        <v>392</v>
      </c>
      <c r="N1079" s="24">
        <f>M1079/L1079</f>
        <v>17.043478260869566</v>
      </c>
      <c r="O1079" s="23"/>
    </row>
    <row r="1080" spans="1:15" s="54" customFormat="1" x14ac:dyDescent="0.2">
      <c r="A1080" s="4">
        <v>2273695</v>
      </c>
      <c r="B1080" s="2" t="s">
        <v>2558</v>
      </c>
      <c r="C1080" s="2" t="s">
        <v>2559</v>
      </c>
      <c r="D1080" s="7">
        <v>1</v>
      </c>
      <c r="E1080" s="7">
        <v>0</v>
      </c>
      <c r="F1080" s="17">
        <v>3</v>
      </c>
      <c r="G1080" s="17">
        <v>1</v>
      </c>
      <c r="H1080" s="17">
        <v>7</v>
      </c>
      <c r="I1080" s="16">
        <f>H1080/(F1080-G1080)</f>
        <v>3.5</v>
      </c>
      <c r="J1080" s="17">
        <v>6</v>
      </c>
      <c r="K1080" s="25">
        <v>11</v>
      </c>
      <c r="L1080" s="25">
        <v>1</v>
      </c>
      <c r="M1080" s="25">
        <v>46</v>
      </c>
      <c r="N1080" s="24">
        <f>M1080/L1080</f>
        <v>46</v>
      </c>
      <c r="O1080" s="49" t="s">
        <v>1472</v>
      </c>
    </row>
    <row r="1081" spans="1:15" s="54" customFormat="1" x14ac:dyDescent="0.2">
      <c r="A1081" s="4"/>
      <c r="B1081" s="2" t="s">
        <v>1066</v>
      </c>
      <c r="C1081" s="2" t="s">
        <v>84</v>
      </c>
      <c r="D1081" s="7">
        <f>5+1+8+1+9+1+4+1+5+2</f>
        <v>37</v>
      </c>
      <c r="E1081" s="7"/>
      <c r="F1081" s="17">
        <f>8+2+10+1+13+1+1+12+1+14+13</f>
        <v>76</v>
      </c>
      <c r="G1081" s="17">
        <f>3+2+1+2+0</f>
        <v>8</v>
      </c>
      <c r="H1081" s="17">
        <f>98+12+145+190+1+7+93+4+181+156</f>
        <v>887</v>
      </c>
      <c r="I1081" s="16">
        <f>H1081/(F1081-G1081)</f>
        <v>13.044117647058824</v>
      </c>
      <c r="J1081" s="17">
        <v>61</v>
      </c>
      <c r="K1081" s="25">
        <f>36+3+21+35+2+14+13+36</f>
        <v>160</v>
      </c>
      <c r="L1081" s="25">
        <f>6+2+2+6+2+2+2+4</f>
        <v>26</v>
      </c>
      <c r="M1081" s="25">
        <f>116+9+98+144+2+51+24+194</f>
        <v>638</v>
      </c>
      <c r="N1081" s="24">
        <f>M1081/L1081</f>
        <v>24.53846153846154</v>
      </c>
      <c r="O1081" s="23"/>
    </row>
    <row r="1082" spans="1:15" s="54" customFormat="1" x14ac:dyDescent="0.2">
      <c r="A1082" s="4"/>
      <c r="B1082" s="2" t="s">
        <v>1067</v>
      </c>
      <c r="C1082" s="2" t="s">
        <v>60</v>
      </c>
      <c r="D1082" s="8">
        <v>53</v>
      </c>
      <c r="E1082" s="7">
        <v>5</v>
      </c>
      <c r="F1082" s="15">
        <f>2+1+1+2+2+1+1+1+1+1+1+1+11+1+10+10+4+1+8+10+11+16+12+12+1+10</f>
        <v>132</v>
      </c>
      <c r="G1082" s="15">
        <f>1+1+6+4+2+1+0+0+5+2+7+5+2+1+2</f>
        <v>39</v>
      </c>
      <c r="H1082" s="15">
        <f>25+1+0+6+26+12+2+0+15+7+4+0+1+38+303+21+155+247+18+7+143+82+129+424+348+299+6+244</f>
        <v>2563</v>
      </c>
      <c r="I1082" s="16">
        <f>H1082/(F1082-G1082)</f>
        <v>27.559139784946236</v>
      </c>
      <c r="J1082" s="17" t="s">
        <v>384</v>
      </c>
      <c r="K1082" s="23">
        <f>5+2+4+4+3+6+3+8+4+4+2+3+4+64+8+68+106+2+71+19+66+26+72+75+82</f>
        <v>711</v>
      </c>
      <c r="L1082" s="23">
        <f>0+0+2+0+0+0+0+0+1+1+1+1+12+3+15+14+0+8+4+9+3+17+20+22</f>
        <v>133</v>
      </c>
      <c r="M1082" s="23">
        <f>19+5+11+5+12+9+28+8+0+6+6+8+7+138+14+134+189+20+154+69+155+143+168+302+276</f>
        <v>1886</v>
      </c>
      <c r="N1082" s="24">
        <f>M1082/L1082</f>
        <v>14.180451127819548</v>
      </c>
      <c r="O1082" s="23"/>
    </row>
    <row r="1083" spans="1:15" s="54" customFormat="1" x14ac:dyDescent="0.2">
      <c r="A1083" s="57">
        <v>681883</v>
      </c>
      <c r="B1083" s="57" t="s">
        <v>1068</v>
      </c>
      <c r="C1083" s="58" t="s">
        <v>302</v>
      </c>
      <c r="D1083" s="59">
        <f>5+2+8+5+4+8+7+7+6+4+1+9+2+8+3+1+10+3+2</f>
        <v>95</v>
      </c>
      <c r="E1083" s="59">
        <f>0+0+1+0+3+0+0</f>
        <v>4</v>
      </c>
      <c r="F1083" s="60">
        <f>2+13+16+14+13+15+11+11+14+11+10+10+12+12+6+11</f>
        <v>181</v>
      </c>
      <c r="G1083" s="60">
        <f>1+3+3+0+2+0+0+1+1+1+1+1+1+0+2</f>
        <v>17</v>
      </c>
      <c r="H1083" s="60">
        <f>1+103+86+165+152+292+189+163+227+100+114+69+108+88+69+140</f>
        <v>2066</v>
      </c>
      <c r="I1083" s="61">
        <f>H1083/(F1083-G1083)</f>
        <v>12.597560975609756</v>
      </c>
      <c r="J1083" s="60">
        <v>72</v>
      </c>
      <c r="K1083" s="62">
        <f>3+16+60+64+21+75.3+98.5+(0.4)+50+63.2+44.3+(0.4)+38.3+16+87+54+8+49</f>
        <v>748.4</v>
      </c>
      <c r="L1083" s="62">
        <f>1+5+20+18+5+21+20+10+12+13+11+3+17+8+0+12</f>
        <v>176</v>
      </c>
      <c r="M1083" s="62">
        <f>22+93+191+250+93+293+289+194+239+190+146+69+300+257+43+181</f>
        <v>2850</v>
      </c>
      <c r="N1083" s="63">
        <f>M1083/L1083</f>
        <v>16.193181818181817</v>
      </c>
      <c r="O1083" s="66" t="s">
        <v>1641</v>
      </c>
    </row>
    <row r="1084" spans="1:15" s="54" customFormat="1" x14ac:dyDescent="0.2">
      <c r="A1084" s="4"/>
      <c r="B1084" s="2" t="s">
        <v>1069</v>
      </c>
      <c r="C1084" s="2" t="s">
        <v>16</v>
      </c>
      <c r="D1084" s="7">
        <v>11</v>
      </c>
      <c r="E1084" s="7"/>
      <c r="F1084" s="15">
        <v>40</v>
      </c>
      <c r="G1084" s="15">
        <v>2</v>
      </c>
      <c r="H1084" s="15">
        <v>371</v>
      </c>
      <c r="I1084" s="16">
        <f>H1084/(F1084-G1084)</f>
        <v>9.7631578947368425</v>
      </c>
      <c r="J1084" s="17">
        <v>38</v>
      </c>
      <c r="K1084" s="23">
        <v>275.3</v>
      </c>
      <c r="L1084" s="23">
        <v>51</v>
      </c>
      <c r="M1084" s="23">
        <v>762</v>
      </c>
      <c r="N1084" s="24">
        <f>M1084/L1084</f>
        <v>14.941176470588236</v>
      </c>
      <c r="O1084" s="23"/>
    </row>
    <row r="1085" spans="1:15" s="54" customFormat="1" x14ac:dyDescent="0.2">
      <c r="A1085" s="4"/>
      <c r="B1085" s="2" t="s">
        <v>1070</v>
      </c>
      <c r="C1085" s="2" t="s">
        <v>101</v>
      </c>
      <c r="D1085" s="7">
        <f>5+8+1+5</f>
        <v>19</v>
      </c>
      <c r="E1085" s="7"/>
      <c r="F1085" s="17">
        <f>12+1+10+2+2+2+1+7+1</f>
        <v>38</v>
      </c>
      <c r="G1085" s="17">
        <f>1+1</f>
        <v>2</v>
      </c>
      <c r="H1085" s="17">
        <f>152+4+224+49+6+5+4+72+1</f>
        <v>517</v>
      </c>
      <c r="I1085" s="16">
        <f>H1085/(F1085-G1085)</f>
        <v>14.361111111111111</v>
      </c>
      <c r="J1085" s="17">
        <v>62</v>
      </c>
      <c r="K1085" s="25">
        <f>69+5+61+8+2+8</f>
        <v>153</v>
      </c>
      <c r="L1085" s="25">
        <f>16+2+12+3</f>
        <v>33</v>
      </c>
      <c r="M1085" s="25">
        <f>253+73+12+61</f>
        <v>399</v>
      </c>
      <c r="N1085" s="24">
        <f>M1085/L1085</f>
        <v>12.090909090909092</v>
      </c>
      <c r="O1085" s="23"/>
    </row>
    <row r="1086" spans="1:15" s="54" customFormat="1" x14ac:dyDescent="0.2">
      <c r="A1086" s="64"/>
      <c r="B1086" s="80" t="s">
        <v>2763</v>
      </c>
      <c r="C1086" s="58" t="s">
        <v>2764</v>
      </c>
      <c r="D1086" s="59">
        <v>2</v>
      </c>
      <c r="E1086" s="59"/>
      <c r="F1086" s="60">
        <v>10</v>
      </c>
      <c r="G1086" s="60">
        <v>1</v>
      </c>
      <c r="H1086" s="60">
        <v>203</v>
      </c>
      <c r="I1086" s="61">
        <f>H1086/(F1086-G1086)</f>
        <v>22.555555555555557</v>
      </c>
      <c r="J1086" s="60">
        <v>64</v>
      </c>
      <c r="K1086" s="62">
        <v>70</v>
      </c>
      <c r="L1086" s="62">
        <v>16</v>
      </c>
      <c r="M1086" s="62">
        <v>265</v>
      </c>
      <c r="N1086" s="63">
        <f>M1086/L1086</f>
        <v>16.5625</v>
      </c>
      <c r="O1086" s="66" t="s">
        <v>2276</v>
      </c>
    </row>
    <row r="1087" spans="1:15" s="54" customFormat="1" x14ac:dyDescent="0.2">
      <c r="A1087" s="4"/>
      <c r="B1087" s="2" t="s">
        <v>1071</v>
      </c>
      <c r="C1087" s="2" t="s">
        <v>18</v>
      </c>
      <c r="D1087" s="7"/>
      <c r="E1087" s="7"/>
      <c r="F1087" s="17">
        <v>10</v>
      </c>
      <c r="G1087" s="17">
        <v>1</v>
      </c>
      <c r="H1087" s="17">
        <v>14</v>
      </c>
      <c r="I1087" s="16">
        <f>H1087/(F1087-G1087)</f>
        <v>1.5555555555555556</v>
      </c>
      <c r="J1087" s="17" t="s">
        <v>271</v>
      </c>
      <c r="K1087" s="25">
        <v>25</v>
      </c>
      <c r="L1087" s="25">
        <v>4</v>
      </c>
      <c r="M1087" s="25">
        <v>67</v>
      </c>
      <c r="N1087" s="24">
        <f>M1087/L1087</f>
        <v>16.75</v>
      </c>
      <c r="O1087" s="23"/>
    </row>
    <row r="1088" spans="1:15" s="54" customFormat="1" x14ac:dyDescent="0.2">
      <c r="A1088" s="4"/>
      <c r="B1088" s="2" t="s">
        <v>1072</v>
      </c>
      <c r="C1088" s="2" t="s">
        <v>9</v>
      </c>
      <c r="D1088" s="7">
        <v>3</v>
      </c>
      <c r="E1088" s="7"/>
      <c r="F1088" s="17">
        <v>9</v>
      </c>
      <c r="G1088" s="17">
        <v>5</v>
      </c>
      <c r="H1088" s="17">
        <v>33</v>
      </c>
      <c r="I1088" s="16">
        <f>H1088/(F1088-G1088)</f>
        <v>8.25</v>
      </c>
      <c r="J1088" s="17">
        <v>11</v>
      </c>
      <c r="K1088" s="25">
        <v>39</v>
      </c>
      <c r="L1088" s="25">
        <v>17</v>
      </c>
      <c r="M1088" s="25">
        <v>81</v>
      </c>
      <c r="N1088" s="24">
        <f>M1088/L1088</f>
        <v>4.7647058823529411</v>
      </c>
      <c r="O1088" s="23"/>
    </row>
    <row r="1089" spans="1:15" s="54" customFormat="1" x14ac:dyDescent="0.2">
      <c r="A1089" s="4"/>
      <c r="B1089" s="2" t="s">
        <v>1073</v>
      </c>
      <c r="C1089" s="2" t="s">
        <v>15</v>
      </c>
      <c r="D1089" s="7">
        <v>13</v>
      </c>
      <c r="E1089" s="7"/>
      <c r="F1089" s="17">
        <v>32</v>
      </c>
      <c r="G1089" s="17">
        <v>9</v>
      </c>
      <c r="H1089" s="17">
        <v>169</v>
      </c>
      <c r="I1089" s="16">
        <f>H1089/(F1089-G1089)</f>
        <v>7.3478260869565215</v>
      </c>
      <c r="J1089" s="17">
        <v>24</v>
      </c>
      <c r="K1089" s="25">
        <v>144</v>
      </c>
      <c r="L1089" s="25">
        <v>32</v>
      </c>
      <c r="M1089" s="25">
        <v>446</v>
      </c>
      <c r="N1089" s="24">
        <f>M1089/L1089</f>
        <v>13.9375</v>
      </c>
      <c r="O1089" s="23"/>
    </row>
    <row r="1090" spans="1:15" s="54" customFormat="1" x14ac:dyDescent="0.2">
      <c r="A1090" s="4"/>
      <c r="B1090" s="2" t="s">
        <v>1074</v>
      </c>
      <c r="C1090" s="2" t="s">
        <v>16</v>
      </c>
      <c r="D1090" s="7">
        <v>6</v>
      </c>
      <c r="E1090" s="7"/>
      <c r="F1090" s="17">
        <v>31</v>
      </c>
      <c r="G1090" s="17">
        <v>9</v>
      </c>
      <c r="H1090" s="17">
        <v>595</v>
      </c>
      <c r="I1090" s="16">
        <f>H1090/(F1090-G1090)</f>
        <v>27.045454545454547</v>
      </c>
      <c r="J1090" s="17">
        <v>78</v>
      </c>
      <c r="K1090" s="25">
        <v>1</v>
      </c>
      <c r="L1090" s="25">
        <v>0</v>
      </c>
      <c r="M1090" s="25">
        <v>3</v>
      </c>
      <c r="N1090" s="24" t="e">
        <f>M1090/L1090</f>
        <v>#DIV/0!</v>
      </c>
      <c r="O1090" s="23"/>
    </row>
    <row r="1091" spans="1:15" s="54" customFormat="1" x14ac:dyDescent="0.2">
      <c r="A1091" s="4"/>
      <c r="B1091" s="2" t="s">
        <v>1075</v>
      </c>
      <c r="C1091" s="2" t="s">
        <v>143</v>
      </c>
      <c r="D1091" s="7">
        <f>1+3+8+3+5+4</f>
        <v>24</v>
      </c>
      <c r="E1091" s="7"/>
      <c r="F1091" s="17">
        <f>7+11+8+13+7+10</f>
        <v>56</v>
      </c>
      <c r="G1091" s="17">
        <f>1+1+1+1+0</f>
        <v>4</v>
      </c>
      <c r="H1091" s="17">
        <f>33+112+34+154+97+175</f>
        <v>605</v>
      </c>
      <c r="I1091" s="16">
        <f>H1091/(F1091-G1091)</f>
        <v>11.634615384615385</v>
      </c>
      <c r="J1091" s="17">
        <v>68</v>
      </c>
      <c r="K1091" s="25">
        <f>28+17+24+16+13+6</f>
        <v>104</v>
      </c>
      <c r="L1091" s="25">
        <f>5+3+6+7+2+0</f>
        <v>23</v>
      </c>
      <c r="M1091" s="25">
        <f>135+74+59+73+42+29</f>
        <v>412</v>
      </c>
      <c r="N1091" s="24">
        <f>M1091/L1091</f>
        <v>17.913043478260871</v>
      </c>
      <c r="O1091" s="23"/>
    </row>
    <row r="1092" spans="1:15" s="54" customFormat="1" x14ac:dyDescent="0.2">
      <c r="A1092" s="4"/>
      <c r="B1092" s="2" t="s">
        <v>1076</v>
      </c>
      <c r="C1092" s="2" t="s">
        <v>110</v>
      </c>
      <c r="D1092" s="7">
        <f>3+12+8+9+11+2+7+0</f>
        <v>52</v>
      </c>
      <c r="E1092" s="7"/>
      <c r="F1092" s="17">
        <f>1+19+19+16+17+14+12+13+1</f>
        <v>112</v>
      </c>
      <c r="G1092" s="17">
        <f>1+1+1+1+0+0+0</f>
        <v>4</v>
      </c>
      <c r="H1092" s="17">
        <f>10+486+306+400+320+275+207+222+5</f>
        <v>2231</v>
      </c>
      <c r="I1092" s="16">
        <f>H1092/(F1092-G1092)</f>
        <v>20.657407407407408</v>
      </c>
      <c r="J1092" s="17">
        <v>105</v>
      </c>
      <c r="K1092" s="25">
        <f>28+33+28+16+18+5+6</f>
        <v>134</v>
      </c>
      <c r="L1092" s="25">
        <f>9+1+8+4+5+2+0</f>
        <v>29</v>
      </c>
      <c r="M1092" s="25">
        <f>121+192+162+48+71+15+36</f>
        <v>645</v>
      </c>
      <c r="N1092" s="24">
        <f>M1092/L1092</f>
        <v>22.241379310344829</v>
      </c>
      <c r="O1092" s="23"/>
    </row>
    <row r="1093" spans="1:15" s="54" customFormat="1" x14ac:dyDescent="0.2">
      <c r="A1093" s="4"/>
      <c r="B1093" s="4" t="s">
        <v>1077</v>
      </c>
      <c r="C1093" s="2" t="s">
        <v>235</v>
      </c>
      <c r="D1093" s="7">
        <f>0</f>
        <v>0</v>
      </c>
      <c r="E1093" s="7"/>
      <c r="F1093" s="17">
        <f>6</f>
        <v>6</v>
      </c>
      <c r="G1093" s="17">
        <f>1</f>
        <v>1</v>
      </c>
      <c r="H1093" s="17">
        <f>173</f>
        <v>173</v>
      </c>
      <c r="I1093" s="16">
        <f>H1093/(F1093-G1093)</f>
        <v>34.6</v>
      </c>
      <c r="J1093" s="17" t="s">
        <v>395</v>
      </c>
      <c r="K1093" s="25">
        <f>13</f>
        <v>13</v>
      </c>
      <c r="L1093" s="25">
        <f>0</f>
        <v>0</v>
      </c>
      <c r="M1093" s="25">
        <f>79</f>
        <v>79</v>
      </c>
      <c r="N1093" s="24" t="e">
        <f>M1093/L1093</f>
        <v>#DIV/0!</v>
      </c>
      <c r="O1093" s="23"/>
    </row>
    <row r="1094" spans="1:15" s="54" customFormat="1" x14ac:dyDescent="0.2">
      <c r="A1094" s="64">
        <v>659847</v>
      </c>
      <c r="B1094" s="58" t="s">
        <v>1737</v>
      </c>
      <c r="C1094" s="58" t="s">
        <v>1738</v>
      </c>
      <c r="D1094" s="59">
        <f>0+0</f>
        <v>0</v>
      </c>
      <c r="E1094" s="59">
        <f>0+0</f>
        <v>0</v>
      </c>
      <c r="F1094" s="60">
        <f>12+3+7+10</f>
        <v>32</v>
      </c>
      <c r="G1094" s="60">
        <f>2+0+3</f>
        <v>5</v>
      </c>
      <c r="H1094" s="60">
        <f>289+18+88+175</f>
        <v>570</v>
      </c>
      <c r="I1094" s="61">
        <f>H1094/(F1094-G1094)</f>
        <v>21.111111111111111</v>
      </c>
      <c r="J1094" s="60" t="s">
        <v>1781</v>
      </c>
      <c r="K1094" s="62">
        <f>2</f>
        <v>2</v>
      </c>
      <c r="L1094" s="62">
        <f>0</f>
        <v>0</v>
      </c>
      <c r="M1094" s="62">
        <f>8</f>
        <v>8</v>
      </c>
      <c r="N1094" s="63" t="e">
        <f>M1094/L1094</f>
        <v>#DIV/0!</v>
      </c>
      <c r="O1094" s="81"/>
    </row>
    <row r="1095" spans="1:15" s="54" customFormat="1" x14ac:dyDescent="0.2">
      <c r="A1095" s="4"/>
      <c r="B1095" s="4" t="s">
        <v>1080</v>
      </c>
      <c r="C1095" s="2" t="s">
        <v>273</v>
      </c>
      <c r="D1095" s="7">
        <f>4+2</f>
        <v>6</v>
      </c>
      <c r="E1095" s="7"/>
      <c r="F1095" s="17">
        <f>12+4</f>
        <v>16</v>
      </c>
      <c r="G1095" s="17">
        <f>2+1</f>
        <v>3</v>
      </c>
      <c r="H1095" s="17">
        <f>61+15</f>
        <v>76</v>
      </c>
      <c r="I1095" s="16">
        <f>H1095/(F1095-G1095)</f>
        <v>5.8461538461538458</v>
      </c>
      <c r="J1095" s="17" t="s">
        <v>274</v>
      </c>
      <c r="K1095" s="25">
        <f>48+26</f>
        <v>74</v>
      </c>
      <c r="L1095" s="25">
        <f>11+3</f>
        <v>14</v>
      </c>
      <c r="M1095" s="25">
        <f>142+81</f>
        <v>223</v>
      </c>
      <c r="N1095" s="24">
        <f>M1095/L1095</f>
        <v>15.928571428571429</v>
      </c>
      <c r="O1095" s="23"/>
    </row>
    <row r="1096" spans="1:15" s="54" customFormat="1" x14ac:dyDescent="0.2">
      <c r="A1096" s="4"/>
      <c r="B1096" s="4" t="s">
        <v>1081</v>
      </c>
      <c r="C1096" s="2" t="s">
        <v>97</v>
      </c>
      <c r="D1096" s="7">
        <f>3+1</f>
        <v>4</v>
      </c>
      <c r="E1096" s="7"/>
      <c r="F1096" s="17">
        <f>13+5</f>
        <v>18</v>
      </c>
      <c r="G1096" s="17">
        <f>2+0</f>
        <v>2</v>
      </c>
      <c r="H1096" s="17">
        <f>78+61</f>
        <v>139</v>
      </c>
      <c r="I1096" s="16">
        <f>H1096/(F1096-G1096)</f>
        <v>8.6875</v>
      </c>
      <c r="J1096" s="17">
        <v>20</v>
      </c>
      <c r="K1096" s="25">
        <f>50.2+35.1</f>
        <v>85.300000000000011</v>
      </c>
      <c r="L1096" s="25">
        <f>9+10</f>
        <v>19</v>
      </c>
      <c r="M1096" s="25">
        <f>113+53</f>
        <v>166</v>
      </c>
      <c r="N1096" s="24">
        <f>M1096/L1096</f>
        <v>8.7368421052631575</v>
      </c>
      <c r="O1096" s="23"/>
    </row>
    <row r="1097" spans="1:15" s="54" customFormat="1" x14ac:dyDescent="0.2">
      <c r="A1097" s="4"/>
      <c r="B1097" s="2" t="s">
        <v>1078</v>
      </c>
      <c r="C1097" s="2" t="s">
        <v>111</v>
      </c>
      <c r="D1097" s="7">
        <f>4+1+4+5+3</f>
        <v>17</v>
      </c>
      <c r="E1097" s="7"/>
      <c r="F1097" s="17">
        <f>9+4+1+7+11+6+1+1</f>
        <v>40</v>
      </c>
      <c r="G1097" s="17">
        <f>1+3+1+1</f>
        <v>6</v>
      </c>
      <c r="H1097" s="17">
        <f>35+21+13+27+88+52+6</f>
        <v>242</v>
      </c>
      <c r="I1097" s="16">
        <f>H1097/(F1097-G1097)</f>
        <v>7.117647058823529</v>
      </c>
      <c r="J1097" s="17">
        <v>26</v>
      </c>
      <c r="K1097" s="25">
        <f>66+44+10+89+93+68.6+8+5</f>
        <v>383.6</v>
      </c>
      <c r="L1097" s="25">
        <f>13+11+2+34+20+19+2+1</f>
        <v>102</v>
      </c>
      <c r="M1097" s="25">
        <f>167+127+42+242+304+230+24+22</f>
        <v>1158</v>
      </c>
      <c r="N1097" s="24">
        <f>M1097/L1097</f>
        <v>11.352941176470589</v>
      </c>
      <c r="O1097" s="23"/>
    </row>
    <row r="1098" spans="1:15" s="54" customFormat="1" x14ac:dyDescent="0.2">
      <c r="A1098" s="4"/>
      <c r="B1098" s="2" t="s">
        <v>1079</v>
      </c>
      <c r="C1098" s="2" t="s">
        <v>232</v>
      </c>
      <c r="D1098" s="7">
        <f>3+4+5+2+1</f>
        <v>15</v>
      </c>
      <c r="E1098" s="7"/>
      <c r="F1098" s="17">
        <f>13+15+14+14+7</f>
        <v>63</v>
      </c>
      <c r="G1098" s="17">
        <f>3+1+1+0</f>
        <v>5</v>
      </c>
      <c r="H1098" s="17">
        <f>139+407+175+321+93</f>
        <v>1135</v>
      </c>
      <c r="I1098" s="16">
        <f>H1098/(F1098-G1098)</f>
        <v>19.568965517241381</v>
      </c>
      <c r="J1098" s="17">
        <v>62</v>
      </c>
      <c r="K1098" s="25">
        <f>74+61+96+63</f>
        <v>294</v>
      </c>
      <c r="L1098" s="25">
        <f>16+6+21+11</f>
        <v>54</v>
      </c>
      <c r="M1098" s="25">
        <f>134+192+156+295</f>
        <v>777</v>
      </c>
      <c r="N1098" s="24">
        <f>M1098/L1098</f>
        <v>14.388888888888889</v>
      </c>
      <c r="O1098" s="23"/>
    </row>
    <row r="1099" spans="1:15" s="54" customFormat="1" x14ac:dyDescent="0.2">
      <c r="A1099" s="57"/>
      <c r="B1099" s="58" t="s">
        <v>2719</v>
      </c>
      <c r="C1099" s="58" t="s">
        <v>2720</v>
      </c>
      <c r="D1099" s="59">
        <v>1</v>
      </c>
      <c r="E1099" s="59"/>
      <c r="F1099" s="60">
        <v>8</v>
      </c>
      <c r="G1099" s="60">
        <v>0</v>
      </c>
      <c r="H1099" s="60">
        <v>33</v>
      </c>
      <c r="I1099" s="61">
        <f>H1099/(F1099-G1099)</f>
        <v>4.125</v>
      </c>
      <c r="J1099" s="60">
        <v>14</v>
      </c>
      <c r="K1099" s="62">
        <v>19</v>
      </c>
      <c r="L1099" s="62">
        <v>2</v>
      </c>
      <c r="M1099" s="62">
        <v>118</v>
      </c>
      <c r="N1099" s="63">
        <f>M1099/L1099</f>
        <v>59</v>
      </c>
      <c r="O1099" s="66" t="s">
        <v>2029</v>
      </c>
    </row>
    <row r="1100" spans="1:15" s="54" customFormat="1" x14ac:dyDescent="0.2">
      <c r="A1100" s="84">
        <v>2029964</v>
      </c>
      <c r="B1100" s="2" t="s">
        <v>2179</v>
      </c>
      <c r="C1100" s="2" t="s">
        <v>2180</v>
      </c>
      <c r="D1100" s="7">
        <f>0</f>
        <v>0</v>
      </c>
      <c r="E1100" s="7"/>
      <c r="F1100" s="17">
        <f>3</f>
        <v>3</v>
      </c>
      <c r="G1100" s="17">
        <f>1</f>
        <v>1</v>
      </c>
      <c r="H1100" s="17">
        <f>73</f>
        <v>73</v>
      </c>
      <c r="I1100" s="16">
        <f>H1100/(F1100-G1100)</f>
        <v>36.5</v>
      </c>
      <c r="J1100" s="17" t="s">
        <v>440</v>
      </c>
      <c r="K1100" s="25"/>
      <c r="L1100" s="25"/>
      <c r="M1100" s="25"/>
      <c r="N1100" s="24" t="e">
        <f>M1100/L1100</f>
        <v>#DIV/0!</v>
      </c>
      <c r="O1100" s="23"/>
    </row>
    <row r="1101" spans="1:15" s="54" customFormat="1" x14ac:dyDescent="0.2">
      <c r="A1101" s="4"/>
      <c r="B1101" s="4" t="s">
        <v>1082</v>
      </c>
      <c r="C1101" s="2" t="s">
        <v>208</v>
      </c>
      <c r="D1101" s="7">
        <f>0+0</f>
        <v>0</v>
      </c>
      <c r="E1101" s="7"/>
      <c r="F1101" s="17">
        <f>15+9</f>
        <v>24</v>
      </c>
      <c r="G1101" s="17">
        <f>0+0</f>
        <v>0</v>
      </c>
      <c r="H1101" s="17">
        <f>123+264</f>
        <v>387</v>
      </c>
      <c r="I1101" s="16">
        <f>H1101/(F1101-G1101)</f>
        <v>16.125</v>
      </c>
      <c r="J1101" s="17">
        <v>59</v>
      </c>
      <c r="K1101" s="25">
        <f>172+129</f>
        <v>301</v>
      </c>
      <c r="L1101" s="25">
        <f>41+32</f>
        <v>73</v>
      </c>
      <c r="M1101" s="25">
        <v>486</v>
      </c>
      <c r="N1101" s="24">
        <f>M1101/L1101</f>
        <v>6.6575342465753424</v>
      </c>
      <c r="O1101" s="23"/>
    </row>
    <row r="1102" spans="1:15" s="54" customFormat="1" x14ac:dyDescent="0.2">
      <c r="A1102" s="4"/>
      <c r="B1102" s="2" t="s">
        <v>1083</v>
      </c>
      <c r="C1102" s="2" t="s">
        <v>131</v>
      </c>
      <c r="D1102" s="7">
        <v>1</v>
      </c>
      <c r="E1102" s="7"/>
      <c r="F1102" s="17">
        <v>6</v>
      </c>
      <c r="G1102" s="17">
        <v>1</v>
      </c>
      <c r="H1102" s="17">
        <v>52</v>
      </c>
      <c r="I1102" s="16">
        <f>H1102/(F1102-G1102)</f>
        <v>10.4</v>
      </c>
      <c r="J1102" s="17">
        <v>31</v>
      </c>
      <c r="K1102" s="25">
        <v>59</v>
      </c>
      <c r="L1102" s="25">
        <v>6</v>
      </c>
      <c r="M1102" s="25">
        <v>205</v>
      </c>
      <c r="N1102" s="24">
        <f>M1102/L1102</f>
        <v>34.166666666666664</v>
      </c>
      <c r="O1102" s="23"/>
    </row>
    <row r="1103" spans="1:15" s="54" customFormat="1" x14ac:dyDescent="0.2">
      <c r="A1103" s="4"/>
      <c r="B1103" s="2" t="s">
        <v>1084</v>
      </c>
      <c r="C1103" s="2" t="s">
        <v>24</v>
      </c>
      <c r="D1103" s="7">
        <v>1</v>
      </c>
      <c r="E1103" s="7"/>
      <c r="F1103" s="17">
        <f>10+1+1</f>
        <v>12</v>
      </c>
      <c r="G1103" s="17">
        <v>2</v>
      </c>
      <c r="H1103" s="17">
        <f>12+1</f>
        <v>13</v>
      </c>
      <c r="I1103" s="16">
        <f>H1103/(F1103-G1103)</f>
        <v>1.3</v>
      </c>
      <c r="J1103" s="17">
        <v>3</v>
      </c>
      <c r="K1103" s="25">
        <v>13</v>
      </c>
      <c r="L1103" s="25">
        <v>2</v>
      </c>
      <c r="M1103" s="25">
        <v>49</v>
      </c>
      <c r="N1103" s="24">
        <f>M1103/L1103</f>
        <v>24.5</v>
      </c>
      <c r="O1103" s="23"/>
    </row>
    <row r="1104" spans="1:15" s="54" customFormat="1" x14ac:dyDescent="0.2">
      <c r="A1104" s="84">
        <v>860868</v>
      </c>
      <c r="B1104" s="86" t="s">
        <v>1571</v>
      </c>
      <c r="C1104" s="2" t="s">
        <v>1572</v>
      </c>
      <c r="D1104" s="7">
        <f>3</f>
        <v>3</v>
      </c>
      <c r="E1104" s="7">
        <f>0</f>
        <v>0</v>
      </c>
      <c r="F1104" s="17">
        <f>7</f>
        <v>7</v>
      </c>
      <c r="G1104" s="17">
        <f>1</f>
        <v>1</v>
      </c>
      <c r="H1104" s="17">
        <f>157</f>
        <v>157</v>
      </c>
      <c r="I1104" s="16">
        <f>H1104/(F1104-G1104)</f>
        <v>26.166666666666668</v>
      </c>
      <c r="J1104" s="17" t="s">
        <v>380</v>
      </c>
      <c r="K1104" s="25">
        <f>53</f>
        <v>53</v>
      </c>
      <c r="L1104" s="25">
        <f>12</f>
        <v>12</v>
      </c>
      <c r="M1104" s="25">
        <f>210</f>
        <v>210</v>
      </c>
      <c r="N1104" s="24">
        <f>M1104/L1104</f>
        <v>17.5</v>
      </c>
      <c r="O1104" s="49" t="s">
        <v>1642</v>
      </c>
    </row>
    <row r="1105" spans="1:15" s="54" customFormat="1" x14ac:dyDescent="0.2">
      <c r="A1105" s="4"/>
      <c r="B1105" s="2" t="s">
        <v>1085</v>
      </c>
      <c r="C1105" s="2" t="s">
        <v>9</v>
      </c>
      <c r="D1105" s="7">
        <v>4</v>
      </c>
      <c r="E1105" s="7"/>
      <c r="F1105" s="17">
        <v>18</v>
      </c>
      <c r="G1105" s="17">
        <v>2</v>
      </c>
      <c r="H1105" s="17">
        <v>56</v>
      </c>
      <c r="I1105" s="16">
        <f>H1105/(F1105-G1105)</f>
        <v>3.5</v>
      </c>
      <c r="J1105" s="17">
        <v>11</v>
      </c>
      <c r="K1105" s="25">
        <v>54</v>
      </c>
      <c r="L1105" s="25">
        <v>8</v>
      </c>
      <c r="M1105" s="25">
        <v>209</v>
      </c>
      <c r="N1105" s="24">
        <f>M1105/L1105</f>
        <v>26.125</v>
      </c>
      <c r="O1105" s="23"/>
    </row>
    <row r="1106" spans="1:15" s="54" customFormat="1" x14ac:dyDescent="0.2">
      <c r="A1106" s="84">
        <v>1760045</v>
      </c>
      <c r="B1106" s="75" t="s">
        <v>1940</v>
      </c>
      <c r="C1106" s="2" t="s">
        <v>1941</v>
      </c>
      <c r="D1106" s="7">
        <f>1</f>
        <v>1</v>
      </c>
      <c r="E1106" s="7">
        <f>0</f>
        <v>0</v>
      </c>
      <c r="F1106" s="17">
        <f>5</f>
        <v>5</v>
      </c>
      <c r="G1106" s="17">
        <f>0</f>
        <v>0</v>
      </c>
      <c r="H1106" s="17">
        <f>26</f>
        <v>26</v>
      </c>
      <c r="I1106" s="16">
        <f>H1106/(F1106-G1106)</f>
        <v>5.2</v>
      </c>
      <c r="J1106" s="17">
        <v>11</v>
      </c>
      <c r="K1106" s="25">
        <f>18</f>
        <v>18</v>
      </c>
      <c r="L1106" s="25">
        <f>3</f>
        <v>3</v>
      </c>
      <c r="M1106" s="25">
        <f>67</f>
        <v>67</v>
      </c>
      <c r="N1106" s="24">
        <f>M1106/L1106</f>
        <v>22.333333333333332</v>
      </c>
      <c r="O1106" s="49" t="s">
        <v>1645</v>
      </c>
    </row>
    <row r="1107" spans="1:15" s="54" customFormat="1" x14ac:dyDescent="0.2">
      <c r="A1107" s="4"/>
      <c r="B1107" s="2" t="s">
        <v>1086</v>
      </c>
      <c r="C1107" s="2" t="s">
        <v>9</v>
      </c>
      <c r="D1107" s="7">
        <v>4</v>
      </c>
      <c r="E1107" s="7"/>
      <c r="F1107" s="17">
        <v>9</v>
      </c>
      <c r="G1107" s="17">
        <v>3</v>
      </c>
      <c r="H1107" s="17">
        <v>140</v>
      </c>
      <c r="I1107" s="16">
        <f>H1107/(F1107-G1107)</f>
        <v>23.333333333333332</v>
      </c>
      <c r="J1107" s="17" t="s">
        <v>427</v>
      </c>
      <c r="K1107" s="25">
        <v>95.3</v>
      </c>
      <c r="L1107" s="25">
        <v>14</v>
      </c>
      <c r="M1107" s="25">
        <v>323</v>
      </c>
      <c r="N1107" s="24">
        <f>M1107/L1107</f>
        <v>23.071428571428573</v>
      </c>
      <c r="O1107" s="23"/>
    </row>
    <row r="1108" spans="1:15" s="54" customFormat="1" x14ac:dyDescent="0.2">
      <c r="A1108" s="4"/>
      <c r="B1108" s="4" t="s">
        <v>1087</v>
      </c>
      <c r="C1108" s="2" t="s">
        <v>239</v>
      </c>
      <c r="D1108" s="7">
        <f>2</f>
        <v>2</v>
      </c>
      <c r="E1108" s="7"/>
      <c r="F1108" s="17">
        <f>13</f>
        <v>13</v>
      </c>
      <c r="G1108" s="17">
        <f>0</f>
        <v>0</v>
      </c>
      <c r="H1108" s="17">
        <f>124</f>
        <v>124</v>
      </c>
      <c r="I1108" s="16">
        <f>H1108/(F1108-G1108)</f>
        <v>9.5384615384615383</v>
      </c>
      <c r="J1108" s="17">
        <v>53</v>
      </c>
      <c r="K1108" s="25">
        <f>106</f>
        <v>106</v>
      </c>
      <c r="L1108" s="25">
        <f>29</f>
        <v>29</v>
      </c>
      <c r="M1108" s="25">
        <f>375</f>
        <v>375</v>
      </c>
      <c r="N1108" s="24">
        <f>M1108/L1108</f>
        <v>12.931034482758621</v>
      </c>
      <c r="O1108" s="23"/>
    </row>
    <row r="1109" spans="1:15" s="54" customFormat="1" x14ac:dyDescent="0.2">
      <c r="A1109" s="84">
        <v>1913308</v>
      </c>
      <c r="B1109" s="2" t="s">
        <v>2181</v>
      </c>
      <c r="C1109" s="2" t="s">
        <v>2182</v>
      </c>
      <c r="D1109" s="7">
        <f>0</f>
        <v>0</v>
      </c>
      <c r="E1109" s="7"/>
      <c r="F1109" s="17">
        <f>13</f>
        <v>13</v>
      </c>
      <c r="G1109" s="17">
        <f>1</f>
        <v>1</v>
      </c>
      <c r="H1109" s="17">
        <f>155</f>
        <v>155</v>
      </c>
      <c r="I1109" s="16">
        <f>H1109/(F1109-G1109)</f>
        <v>12.916666666666666</v>
      </c>
      <c r="J1109" s="17">
        <v>46</v>
      </c>
      <c r="K1109" s="25">
        <f>12</f>
        <v>12</v>
      </c>
      <c r="L1109" s="25">
        <f>0</f>
        <v>0</v>
      </c>
      <c r="M1109" s="25">
        <f>35</f>
        <v>35</v>
      </c>
      <c r="N1109" s="24" t="e">
        <f>M1109/L1109</f>
        <v>#DIV/0!</v>
      </c>
      <c r="O1109" s="49" t="s">
        <v>2279</v>
      </c>
    </row>
    <row r="1110" spans="1:15" s="54" customFormat="1" x14ac:dyDescent="0.2">
      <c r="A1110" s="84">
        <v>2031949</v>
      </c>
      <c r="B1110" s="2" t="s">
        <v>2183</v>
      </c>
      <c r="C1110" s="2" t="s">
        <v>2184</v>
      </c>
      <c r="D1110" s="7">
        <f>0</f>
        <v>0</v>
      </c>
      <c r="E1110" s="7"/>
      <c r="F1110" s="17">
        <f>1</f>
        <v>1</v>
      </c>
      <c r="G1110" s="17">
        <f>0</f>
        <v>0</v>
      </c>
      <c r="H1110" s="17">
        <f>0</f>
        <v>0</v>
      </c>
      <c r="I1110" s="16">
        <f>H1110/(F1110-G1110)</f>
        <v>0</v>
      </c>
      <c r="J1110" s="17">
        <v>0</v>
      </c>
      <c r="K1110" s="25">
        <f>3</f>
        <v>3</v>
      </c>
      <c r="L1110" s="25">
        <f>0</f>
        <v>0</v>
      </c>
      <c r="M1110" s="25">
        <f>5</f>
        <v>5</v>
      </c>
      <c r="N1110" s="24" t="e">
        <f>M1110/L1110</f>
        <v>#DIV/0!</v>
      </c>
      <c r="O1110" s="49" t="s">
        <v>1508</v>
      </c>
    </row>
    <row r="1111" spans="1:15" s="54" customFormat="1" x14ac:dyDescent="0.2">
      <c r="A1111" s="4"/>
      <c r="B1111" s="2" t="s">
        <v>1089</v>
      </c>
      <c r="C1111" s="2" t="s">
        <v>21</v>
      </c>
      <c r="D1111" s="7">
        <v>19</v>
      </c>
      <c r="E1111" s="7"/>
      <c r="F1111" s="17">
        <v>32</v>
      </c>
      <c r="G1111" s="17">
        <v>3</v>
      </c>
      <c r="H1111" s="17">
        <v>762</v>
      </c>
      <c r="I1111" s="16">
        <f>H1111/(F1111-G1111)</f>
        <v>26.275862068965516</v>
      </c>
      <c r="J1111" s="17" t="s">
        <v>443</v>
      </c>
      <c r="K1111" s="25"/>
      <c r="L1111" s="25"/>
      <c r="M1111" s="25"/>
      <c r="N1111" s="24" t="e">
        <f>M1111/L1111</f>
        <v>#DIV/0!</v>
      </c>
      <c r="O1111" s="23"/>
    </row>
    <row r="1112" spans="1:15" s="54" customFormat="1" x14ac:dyDescent="0.2">
      <c r="A1112" s="4"/>
      <c r="B1112" s="2" t="s">
        <v>1090</v>
      </c>
      <c r="C1112" s="2" t="s">
        <v>19</v>
      </c>
      <c r="D1112" s="7">
        <f>6+2</f>
        <v>8</v>
      </c>
      <c r="E1112" s="7"/>
      <c r="F1112" s="17">
        <f>8+3</f>
        <v>11</v>
      </c>
      <c r="G1112" s="17">
        <v>3</v>
      </c>
      <c r="H1112" s="17">
        <f>15+6</f>
        <v>21</v>
      </c>
      <c r="I1112" s="16">
        <f>H1112/(F1112-G1112)</f>
        <v>2.625</v>
      </c>
      <c r="J1112" s="17">
        <v>8</v>
      </c>
      <c r="K1112" s="25">
        <f>4+4</f>
        <v>8</v>
      </c>
      <c r="L1112" s="25">
        <v>1</v>
      </c>
      <c r="M1112" s="25">
        <f>19+33</f>
        <v>52</v>
      </c>
      <c r="N1112" s="24">
        <f>M1112/L1112</f>
        <v>52</v>
      </c>
      <c r="O1112" s="23"/>
    </row>
    <row r="1113" spans="1:15" s="54" customFormat="1" x14ac:dyDescent="0.2">
      <c r="A1113" s="4"/>
      <c r="B1113" s="4" t="s">
        <v>1091</v>
      </c>
      <c r="C1113" s="2" t="s">
        <v>201</v>
      </c>
      <c r="D1113" s="7">
        <v>2</v>
      </c>
      <c r="E1113" s="7"/>
      <c r="F1113" s="17">
        <v>6</v>
      </c>
      <c r="G1113" s="17">
        <v>0</v>
      </c>
      <c r="H1113" s="17">
        <v>15</v>
      </c>
      <c r="I1113" s="16">
        <f>H1113/(F1113-G1113)</f>
        <v>2.5</v>
      </c>
      <c r="J1113" s="17">
        <v>8</v>
      </c>
      <c r="K1113" s="25">
        <v>6</v>
      </c>
      <c r="L1113" s="25">
        <v>1</v>
      </c>
      <c r="M1113" s="25">
        <v>20</v>
      </c>
      <c r="N1113" s="24">
        <f>M1113/L1113</f>
        <v>20</v>
      </c>
      <c r="O1113" s="23"/>
    </row>
    <row r="1114" spans="1:15" s="54" customFormat="1" x14ac:dyDescent="0.2">
      <c r="A1114" s="84">
        <v>1881860</v>
      </c>
      <c r="B1114" s="2" t="s">
        <v>2185</v>
      </c>
      <c r="C1114" s="2" t="s">
        <v>2186</v>
      </c>
      <c r="D1114" s="7">
        <f>0</f>
        <v>0</v>
      </c>
      <c r="E1114" s="7"/>
      <c r="F1114" s="17"/>
      <c r="G1114" s="17"/>
      <c r="H1114" s="17"/>
      <c r="I1114" s="16" t="e">
        <f>H1114/(F1114-G1114)</f>
        <v>#DIV/0!</v>
      </c>
      <c r="J1114" s="17"/>
      <c r="K1114" s="25">
        <f>6</f>
        <v>6</v>
      </c>
      <c r="L1114" s="25">
        <f>2</f>
        <v>2</v>
      </c>
      <c r="M1114" s="25">
        <f>25</f>
        <v>25</v>
      </c>
      <c r="N1114" s="24">
        <f>M1114/L1114</f>
        <v>12.5</v>
      </c>
      <c r="O1114" s="49" t="s">
        <v>2280</v>
      </c>
    </row>
    <row r="1115" spans="1:15" s="54" customFormat="1" x14ac:dyDescent="0.2">
      <c r="A1115" s="84">
        <v>2307107</v>
      </c>
      <c r="B1115" s="2" t="s">
        <v>2544</v>
      </c>
      <c r="C1115" s="2" t="s">
        <v>2545</v>
      </c>
      <c r="D1115" s="7">
        <v>0</v>
      </c>
      <c r="E1115" s="7">
        <v>0</v>
      </c>
      <c r="F1115" s="17">
        <v>1</v>
      </c>
      <c r="G1115" s="17">
        <v>0</v>
      </c>
      <c r="H1115" s="17">
        <v>30</v>
      </c>
      <c r="I1115" s="16">
        <f>H1115/(F1115-G1115)</f>
        <v>30</v>
      </c>
      <c r="J1115" s="17">
        <v>30</v>
      </c>
      <c r="K1115" s="25">
        <v>3</v>
      </c>
      <c r="L1115" s="25">
        <v>0</v>
      </c>
      <c r="M1115" s="25">
        <v>20</v>
      </c>
      <c r="N1115" s="24" t="e">
        <f>M1115/L1115</f>
        <v>#DIV/0!</v>
      </c>
      <c r="O1115" s="49" t="s">
        <v>1644</v>
      </c>
    </row>
    <row r="1116" spans="1:15" s="54" customFormat="1" x14ac:dyDescent="0.2">
      <c r="A1116" s="4"/>
      <c r="B1116" s="2" t="s">
        <v>1092</v>
      </c>
      <c r="C1116" s="2" t="s">
        <v>17</v>
      </c>
      <c r="D1116" s="7">
        <f>3+7+5</f>
        <v>15</v>
      </c>
      <c r="E1116" s="7"/>
      <c r="F1116" s="17">
        <f>5+16+13</f>
        <v>34</v>
      </c>
      <c r="G1116" s="17">
        <f>1+1+1</f>
        <v>3</v>
      </c>
      <c r="H1116" s="17">
        <f>1+199+117</f>
        <v>317</v>
      </c>
      <c r="I1116" s="16">
        <f>H1116/(F1116-G1116)</f>
        <v>10.225806451612904</v>
      </c>
      <c r="J1116" s="17">
        <v>35</v>
      </c>
      <c r="K1116" s="25">
        <f>28+10+16</f>
        <v>54</v>
      </c>
      <c r="L1116" s="25">
        <f>4+1+4</f>
        <v>9</v>
      </c>
      <c r="M1116" s="25">
        <f>47+66+39</f>
        <v>152</v>
      </c>
      <c r="N1116" s="24">
        <f>M1116/L1116</f>
        <v>16.888888888888889</v>
      </c>
      <c r="O1116" s="23"/>
    </row>
    <row r="1117" spans="1:15" s="54" customFormat="1" x14ac:dyDescent="0.2">
      <c r="A1117" s="4"/>
      <c r="B1117" s="4" t="s">
        <v>1093</v>
      </c>
      <c r="C1117" s="2" t="s">
        <v>209</v>
      </c>
      <c r="D1117" s="7">
        <f>1+0</f>
        <v>1</v>
      </c>
      <c r="E1117" s="7"/>
      <c r="F1117" s="17">
        <f>12+8</f>
        <v>20</v>
      </c>
      <c r="G1117" s="17">
        <f>1+1</f>
        <v>2</v>
      </c>
      <c r="H1117" s="17">
        <f>88+53</f>
        <v>141</v>
      </c>
      <c r="I1117" s="16">
        <f>H1117/(F1117-G1117)</f>
        <v>7.833333333333333</v>
      </c>
      <c r="J1117" s="17">
        <v>24</v>
      </c>
      <c r="K1117" s="25">
        <f>1+6</f>
        <v>7</v>
      </c>
      <c r="L1117" s="25">
        <f>0+0</f>
        <v>0</v>
      </c>
      <c r="M1117" s="25">
        <f>7+36</f>
        <v>43</v>
      </c>
      <c r="N1117" s="24" t="e">
        <f>M1117/L1117</f>
        <v>#DIV/0!</v>
      </c>
      <c r="O1117" s="23"/>
    </row>
    <row r="1118" spans="1:15" s="54" customFormat="1" x14ac:dyDescent="0.2">
      <c r="A1118" s="4">
        <v>1903643</v>
      </c>
      <c r="B1118" s="4" t="s">
        <v>2529</v>
      </c>
      <c r="C1118" s="2" t="s">
        <v>2201</v>
      </c>
      <c r="D1118" s="7">
        <v>0</v>
      </c>
      <c r="E1118" s="7">
        <v>0</v>
      </c>
      <c r="F1118" s="17">
        <v>4</v>
      </c>
      <c r="G1118" s="17">
        <v>4</v>
      </c>
      <c r="H1118" s="17">
        <v>11</v>
      </c>
      <c r="I1118" s="16" t="e">
        <f>H1118/(F1118-G1118)</f>
        <v>#DIV/0!</v>
      </c>
      <c r="J1118" s="17" t="s">
        <v>281</v>
      </c>
      <c r="K1118" s="25">
        <v>12</v>
      </c>
      <c r="L1118" s="25">
        <v>4</v>
      </c>
      <c r="M1118" s="25">
        <v>42</v>
      </c>
      <c r="N1118" s="24">
        <f>M1118/L1118</f>
        <v>10.5</v>
      </c>
      <c r="O1118" s="49" t="s">
        <v>2285</v>
      </c>
    </row>
    <row r="1119" spans="1:15" s="54" customFormat="1" x14ac:dyDescent="0.2">
      <c r="A1119" s="64"/>
      <c r="B1119" s="58" t="s">
        <v>2632</v>
      </c>
      <c r="C1119" s="58" t="s">
        <v>2633</v>
      </c>
      <c r="D1119" s="59"/>
      <c r="E1119" s="59"/>
      <c r="F1119" s="60">
        <v>5</v>
      </c>
      <c r="G1119" s="60">
        <v>0</v>
      </c>
      <c r="H1119" s="60">
        <v>118</v>
      </c>
      <c r="I1119" s="61">
        <f>H1119/(F1119-G1119)</f>
        <v>23.6</v>
      </c>
      <c r="J1119" s="60">
        <v>74</v>
      </c>
      <c r="K1119" s="62">
        <v>9</v>
      </c>
      <c r="L1119" s="62">
        <v>3</v>
      </c>
      <c r="M1119" s="62">
        <v>40</v>
      </c>
      <c r="N1119" s="63">
        <f>M1119/L1119</f>
        <v>13.333333333333334</v>
      </c>
      <c r="O1119" s="66" t="s">
        <v>2492</v>
      </c>
    </row>
    <row r="1120" spans="1:15" s="54" customFormat="1" x14ac:dyDescent="0.2">
      <c r="A1120" s="84">
        <v>1927565</v>
      </c>
      <c r="B1120" s="2" t="s">
        <v>2187</v>
      </c>
      <c r="C1120" s="2" t="s">
        <v>2188</v>
      </c>
      <c r="D1120" s="7">
        <f>2</f>
        <v>2</v>
      </c>
      <c r="E1120" s="7"/>
      <c r="F1120" s="17">
        <f>3</f>
        <v>3</v>
      </c>
      <c r="G1120" s="17">
        <f>0</f>
        <v>0</v>
      </c>
      <c r="H1120" s="17">
        <f>76</f>
        <v>76</v>
      </c>
      <c r="I1120" s="16">
        <f>H1120/(F1120-G1120)</f>
        <v>25.333333333333332</v>
      </c>
      <c r="J1120" s="17">
        <v>35</v>
      </c>
      <c r="K1120" s="25">
        <f>27</f>
        <v>27</v>
      </c>
      <c r="L1120" s="25">
        <f>9</f>
        <v>9</v>
      </c>
      <c r="M1120" s="25">
        <f>93</f>
        <v>93</v>
      </c>
      <c r="N1120" s="24">
        <f>M1120/L1120</f>
        <v>10.333333333333334</v>
      </c>
      <c r="O1120" s="49" t="s">
        <v>1390</v>
      </c>
    </row>
    <row r="1121" spans="1:15" s="54" customFormat="1" x14ac:dyDescent="0.2">
      <c r="A1121" s="84">
        <v>1747211</v>
      </c>
      <c r="B1121" s="2" t="s">
        <v>1942</v>
      </c>
      <c r="C1121" s="2" t="s">
        <v>1943</v>
      </c>
      <c r="D1121" s="7">
        <f>1+1</f>
        <v>2</v>
      </c>
      <c r="E1121" s="7">
        <f>0</f>
        <v>0</v>
      </c>
      <c r="F1121" s="17">
        <f>2+9</f>
        <v>11</v>
      </c>
      <c r="G1121" s="17">
        <f>0+0</f>
        <v>0</v>
      </c>
      <c r="H1121" s="17">
        <f>6+81</f>
        <v>87</v>
      </c>
      <c r="I1121" s="16">
        <f>H1121/(F1121-G1121)</f>
        <v>7.9090909090909092</v>
      </c>
      <c r="J1121" s="17">
        <v>16</v>
      </c>
      <c r="K1121" s="25">
        <f>26+38</f>
        <v>64</v>
      </c>
      <c r="L1121" s="25">
        <f>8+3</f>
        <v>11</v>
      </c>
      <c r="M1121" s="25">
        <f>76+81</f>
        <v>157</v>
      </c>
      <c r="N1121" s="24">
        <f>M1121/L1121</f>
        <v>14.272727272727273</v>
      </c>
      <c r="O1121" s="49" t="s">
        <v>2032</v>
      </c>
    </row>
    <row r="1122" spans="1:15" s="54" customFormat="1" x14ac:dyDescent="0.2">
      <c r="A1122" s="4"/>
      <c r="B1122" s="2" t="s">
        <v>1094</v>
      </c>
      <c r="C1122" s="2" t="s">
        <v>151</v>
      </c>
      <c r="D1122" s="7">
        <f>1+2+0+3</f>
        <v>6</v>
      </c>
      <c r="E1122" s="7"/>
      <c r="F1122" s="17">
        <f>12+13+2+12</f>
        <v>39</v>
      </c>
      <c r="G1122" s="17">
        <f>2+2+0+0</f>
        <v>4</v>
      </c>
      <c r="H1122" s="17">
        <f>252+180+58+87</f>
        <v>577</v>
      </c>
      <c r="I1122" s="16">
        <f>H1122/(F1122-G1122)</f>
        <v>16.485714285714284</v>
      </c>
      <c r="J1122" s="17">
        <v>46</v>
      </c>
      <c r="K1122" s="25">
        <f>4+17+0+19</f>
        <v>40</v>
      </c>
      <c r="L1122" s="25">
        <f>2+0+5</f>
        <v>7</v>
      </c>
      <c r="M1122" s="25">
        <f>32+62+0+84</f>
        <v>178</v>
      </c>
      <c r="N1122" s="24">
        <f>M1122/L1122</f>
        <v>25.428571428571427</v>
      </c>
      <c r="O1122" s="23"/>
    </row>
    <row r="1123" spans="1:15" s="54" customFormat="1" x14ac:dyDescent="0.2">
      <c r="A1123" s="84">
        <v>2021528</v>
      </c>
      <c r="B1123" s="2" t="s">
        <v>2189</v>
      </c>
      <c r="C1123" s="2" t="s">
        <v>2190</v>
      </c>
      <c r="D1123" s="7">
        <f>0+1+1</f>
        <v>2</v>
      </c>
      <c r="E1123" s="7">
        <f>0+0</f>
        <v>0</v>
      </c>
      <c r="F1123" s="17">
        <f>5+7+4</f>
        <v>16</v>
      </c>
      <c r="G1123" s="17">
        <f>2+3+1</f>
        <v>6</v>
      </c>
      <c r="H1123" s="17">
        <f>29+6+14</f>
        <v>49</v>
      </c>
      <c r="I1123" s="16">
        <f>H1123/(F1123-G1123)</f>
        <v>4.9000000000000004</v>
      </c>
      <c r="J1123" s="17" t="s">
        <v>399</v>
      </c>
      <c r="K1123" s="25">
        <f>18.1+7</f>
        <v>25.1</v>
      </c>
      <c r="L1123" s="25">
        <f>6+0</f>
        <v>6</v>
      </c>
      <c r="M1123" s="25">
        <f>55+13</f>
        <v>68</v>
      </c>
      <c r="N1123" s="24">
        <f>M1123/L1123</f>
        <v>11.333333333333334</v>
      </c>
      <c r="O1123" s="49" t="s">
        <v>1626</v>
      </c>
    </row>
    <row r="1124" spans="1:15" s="54" customFormat="1" x14ac:dyDescent="0.2">
      <c r="A1124" s="4"/>
      <c r="B1124" s="4" t="s">
        <v>1095</v>
      </c>
      <c r="C1124" s="2" t="s">
        <v>315</v>
      </c>
      <c r="D1124" s="7">
        <f>1</f>
        <v>1</v>
      </c>
      <c r="E1124" s="7"/>
      <c r="F1124" s="17">
        <f>3</f>
        <v>3</v>
      </c>
      <c r="G1124" s="17">
        <f>1</f>
        <v>1</v>
      </c>
      <c r="H1124" s="17">
        <f>19</f>
        <v>19</v>
      </c>
      <c r="I1124" s="16">
        <f>H1124/(F1124-G1124)</f>
        <v>9.5</v>
      </c>
      <c r="J1124" s="17">
        <v>15</v>
      </c>
      <c r="K1124" s="25">
        <f>25</f>
        <v>25</v>
      </c>
      <c r="L1124" s="25">
        <f>9</f>
        <v>9</v>
      </c>
      <c r="M1124" s="25">
        <f>70</f>
        <v>70</v>
      </c>
      <c r="N1124" s="24">
        <f>M1124/L1124</f>
        <v>7.7777777777777777</v>
      </c>
      <c r="O1124" s="23"/>
    </row>
    <row r="1125" spans="1:15" s="54" customFormat="1" x14ac:dyDescent="0.2">
      <c r="A1125" s="4">
        <v>1048185</v>
      </c>
      <c r="B1125" s="2" t="s">
        <v>1311</v>
      </c>
      <c r="C1125" s="2"/>
      <c r="D1125" s="7">
        <f>0</f>
        <v>0</v>
      </c>
      <c r="E1125" s="7">
        <f>0</f>
        <v>0</v>
      </c>
      <c r="F1125" s="17">
        <f>11</f>
        <v>11</v>
      </c>
      <c r="G1125" s="17">
        <f>1</f>
        <v>1</v>
      </c>
      <c r="H1125" s="17">
        <v>26</v>
      </c>
      <c r="I1125" s="16">
        <f>H1125/(F1125-G1125)</f>
        <v>2.6</v>
      </c>
      <c r="J1125" s="17">
        <v>11</v>
      </c>
      <c r="K1125" s="25">
        <f>6</f>
        <v>6</v>
      </c>
      <c r="L1125" s="25">
        <f>0</f>
        <v>0</v>
      </c>
      <c r="M1125" s="25">
        <f>36</f>
        <v>36</v>
      </c>
      <c r="N1125" s="24" t="e">
        <f>M1125/L1125</f>
        <v>#DIV/0!</v>
      </c>
      <c r="O1125" s="49" t="s">
        <v>1384</v>
      </c>
    </row>
    <row r="1126" spans="1:15" s="54" customFormat="1" x14ac:dyDescent="0.2">
      <c r="A1126" s="4"/>
      <c r="B1126" s="2" t="s">
        <v>1096</v>
      </c>
      <c r="C1126" s="2" t="s">
        <v>73</v>
      </c>
      <c r="D1126" s="7">
        <f>6+1+2+5+0</f>
        <v>14</v>
      </c>
      <c r="E1126" s="7"/>
      <c r="F1126" s="17">
        <f>12+13+12+14+0</f>
        <v>51</v>
      </c>
      <c r="G1126" s="17">
        <f>2+2+3+1+0</f>
        <v>8</v>
      </c>
      <c r="H1126" s="17">
        <f>55+70+97+193+0</f>
        <v>415</v>
      </c>
      <c r="I1126" s="16">
        <f>H1126/(F1126-G1126)</f>
        <v>9.6511627906976738</v>
      </c>
      <c r="J1126" s="17">
        <v>90</v>
      </c>
      <c r="K1126" s="25">
        <f>55+21+30+12+0</f>
        <v>118</v>
      </c>
      <c r="L1126" s="25">
        <f>29+4+8+0+0</f>
        <v>41</v>
      </c>
      <c r="M1126" s="25">
        <f>128+70+83+67+0</f>
        <v>348</v>
      </c>
      <c r="N1126" s="24">
        <f>M1126/L1126</f>
        <v>8.4878048780487809</v>
      </c>
      <c r="O1126" s="23"/>
    </row>
    <row r="1127" spans="1:15" s="54" customFormat="1" x14ac:dyDescent="0.2">
      <c r="A1127" s="4">
        <v>1047144</v>
      </c>
      <c r="B1127" s="2" t="s">
        <v>1315</v>
      </c>
      <c r="C1127" s="2"/>
      <c r="D1127" s="7">
        <f>0</f>
        <v>0</v>
      </c>
      <c r="E1127" s="7">
        <f>0</f>
        <v>0</v>
      </c>
      <c r="F1127" s="17">
        <f>12</f>
        <v>12</v>
      </c>
      <c r="G1127" s="17">
        <f>0</f>
        <v>0</v>
      </c>
      <c r="H1127" s="17">
        <f>137</f>
        <v>137</v>
      </c>
      <c r="I1127" s="16">
        <f>H1127/(F1127-G1127)</f>
        <v>11.416666666666666</v>
      </c>
      <c r="J1127" s="17">
        <v>32</v>
      </c>
      <c r="K1127" s="25">
        <f>17.5</f>
        <v>17.5</v>
      </c>
      <c r="L1127" s="25">
        <f>1</f>
        <v>1</v>
      </c>
      <c r="M1127" s="25">
        <f>126</f>
        <v>126</v>
      </c>
      <c r="N1127" s="24">
        <f>M1127/L1127</f>
        <v>126</v>
      </c>
      <c r="O1127" s="49" t="s">
        <v>1359</v>
      </c>
    </row>
    <row r="1128" spans="1:15" s="54" customFormat="1" x14ac:dyDescent="0.2">
      <c r="A1128" s="4"/>
      <c r="B1128" s="2" t="s">
        <v>1097</v>
      </c>
      <c r="C1128" s="2" t="s">
        <v>61</v>
      </c>
      <c r="D1128" s="7"/>
      <c r="E1128" s="7"/>
      <c r="F1128" s="15">
        <f>2+1+2+2+1+1+1+1+1+1</f>
        <v>13</v>
      </c>
      <c r="G1128" s="15"/>
      <c r="H1128" s="15">
        <f>0+0+0+1+3+0+0+3+1+0+0+1</f>
        <v>9</v>
      </c>
      <c r="I1128" s="16">
        <f>H1128/(F1128-G1128)</f>
        <v>0.69230769230769229</v>
      </c>
      <c r="J1128" s="17">
        <v>3</v>
      </c>
      <c r="K1128" s="23">
        <f>5+3+2+4+1+8+4+3+4+4</f>
        <v>38</v>
      </c>
      <c r="L1128" s="23">
        <f>2+1+0+2+0+1+0+3+0+0</f>
        <v>9</v>
      </c>
      <c r="M1128" s="23">
        <f>27+11+17+18+5+20+2+13+12+9</f>
        <v>134</v>
      </c>
      <c r="N1128" s="24">
        <f>M1128/L1128</f>
        <v>14.888888888888889</v>
      </c>
      <c r="O1128" s="23"/>
    </row>
    <row r="1129" spans="1:15" s="54" customFormat="1" x14ac:dyDescent="0.2">
      <c r="A1129" s="4"/>
      <c r="B1129" s="2" t="s">
        <v>1098</v>
      </c>
      <c r="C1129" s="2" t="s">
        <v>9</v>
      </c>
      <c r="D1129" s="7">
        <v>1</v>
      </c>
      <c r="E1129" s="7"/>
      <c r="F1129" s="15">
        <v>7</v>
      </c>
      <c r="G1129" s="15">
        <v>1</v>
      </c>
      <c r="H1129" s="15">
        <v>153</v>
      </c>
      <c r="I1129" s="16">
        <f>H1129/(F1129-G1129)</f>
        <v>25.5</v>
      </c>
      <c r="J1129" s="17">
        <v>48</v>
      </c>
      <c r="K1129" s="23"/>
      <c r="L1129" s="23"/>
      <c r="M1129" s="23"/>
      <c r="N1129" s="24" t="e">
        <f>M1129/L1129</f>
        <v>#DIV/0!</v>
      </c>
      <c r="O1129" s="23"/>
    </row>
    <row r="1130" spans="1:15" s="54" customFormat="1" x14ac:dyDescent="0.2">
      <c r="A1130" s="84">
        <v>1292665</v>
      </c>
      <c r="B1130" s="86" t="s">
        <v>1573</v>
      </c>
      <c r="C1130" s="2" t="s">
        <v>1574</v>
      </c>
      <c r="D1130" s="7">
        <f>0+5</f>
        <v>5</v>
      </c>
      <c r="E1130" s="7">
        <f>0+0</f>
        <v>0</v>
      </c>
      <c r="F1130" s="17">
        <f>1+7</f>
        <v>8</v>
      </c>
      <c r="G1130" s="17">
        <f>0+0</f>
        <v>0</v>
      </c>
      <c r="H1130" s="17">
        <f>19+282</f>
        <v>301</v>
      </c>
      <c r="I1130" s="16">
        <f>H1130/(F1130-G1130)</f>
        <v>37.625</v>
      </c>
      <c r="J1130" s="17">
        <v>89</v>
      </c>
      <c r="K1130" s="25">
        <f>4+15</f>
        <v>19</v>
      </c>
      <c r="L1130" s="25">
        <f>1+4</f>
        <v>5</v>
      </c>
      <c r="M1130" s="25">
        <f>24+23</f>
        <v>47</v>
      </c>
      <c r="N1130" s="24">
        <f>M1130/L1130</f>
        <v>9.4</v>
      </c>
      <c r="O1130" s="49" t="s">
        <v>1795</v>
      </c>
    </row>
    <row r="1131" spans="1:15" s="54" customFormat="1" x14ac:dyDescent="0.2">
      <c r="A1131" s="64">
        <v>692873</v>
      </c>
      <c r="B1131" s="58" t="s">
        <v>1944</v>
      </c>
      <c r="C1131" s="58" t="s">
        <v>1945</v>
      </c>
      <c r="D1131" s="59">
        <f>0+1+0</f>
        <v>1</v>
      </c>
      <c r="E1131" s="59">
        <f>0+0</f>
        <v>0</v>
      </c>
      <c r="F1131" s="60">
        <f>7+13+12+6+6</f>
        <v>44</v>
      </c>
      <c r="G1131" s="60">
        <f>2+2+0+0</f>
        <v>4</v>
      </c>
      <c r="H1131" s="60">
        <f>209+361+248+99+153</f>
        <v>1070</v>
      </c>
      <c r="I1131" s="61">
        <f>H1131/(F1131-G1131)</f>
        <v>26.75</v>
      </c>
      <c r="J1131" s="60" t="s">
        <v>444</v>
      </c>
      <c r="K1131" s="62">
        <f>11+2.3+10+10.3+9</f>
        <v>42.6</v>
      </c>
      <c r="L1131" s="62">
        <f>0+0+2+2+3</f>
        <v>7</v>
      </c>
      <c r="M1131" s="62">
        <f>42+20+46+52+45</f>
        <v>205</v>
      </c>
      <c r="N1131" s="63">
        <f>M1131/L1131</f>
        <v>29.285714285714285</v>
      </c>
      <c r="O1131" s="66" t="s">
        <v>2285</v>
      </c>
    </row>
    <row r="1132" spans="1:15" s="54" customFormat="1" x14ac:dyDescent="0.2">
      <c r="A1132" s="4"/>
      <c r="B1132" s="2" t="s">
        <v>1099</v>
      </c>
      <c r="C1132" s="2" t="s">
        <v>12</v>
      </c>
      <c r="D1132" s="7">
        <v>3</v>
      </c>
      <c r="E1132" s="7"/>
      <c r="F1132" s="17">
        <v>8</v>
      </c>
      <c r="G1132" s="17">
        <v>1</v>
      </c>
      <c r="H1132" s="17">
        <v>94</v>
      </c>
      <c r="I1132" s="16">
        <f>H1132/(F1132-G1132)</f>
        <v>13.428571428571429</v>
      </c>
      <c r="J1132" s="17">
        <v>33</v>
      </c>
      <c r="K1132" s="25">
        <v>24</v>
      </c>
      <c r="L1132" s="25">
        <v>6</v>
      </c>
      <c r="M1132" s="25">
        <v>94</v>
      </c>
      <c r="N1132" s="24">
        <f>M1132/L1132</f>
        <v>15.666666666666666</v>
      </c>
      <c r="O1132" s="23"/>
    </row>
    <row r="1133" spans="1:15" s="54" customFormat="1" x14ac:dyDescent="0.2">
      <c r="A1133" s="57"/>
      <c r="B1133" s="58" t="s">
        <v>2728</v>
      </c>
      <c r="C1133" s="58" t="s">
        <v>2362</v>
      </c>
      <c r="D1133" s="59">
        <v>3</v>
      </c>
      <c r="E1133" s="59"/>
      <c r="F1133" s="60">
        <v>14</v>
      </c>
      <c r="G1133" s="60">
        <v>2</v>
      </c>
      <c r="H1133" s="60">
        <v>102</v>
      </c>
      <c r="I1133" s="61">
        <f>H1133/(F1133-G1133)</f>
        <v>8.5</v>
      </c>
      <c r="J1133" s="60">
        <v>25</v>
      </c>
      <c r="K1133" s="62">
        <v>29</v>
      </c>
      <c r="L1133" s="62">
        <v>3</v>
      </c>
      <c r="M1133" s="62">
        <v>127</v>
      </c>
      <c r="N1133" s="63">
        <f>M1133/L1133</f>
        <v>42.333333333333336</v>
      </c>
      <c r="O1133" s="66" t="s">
        <v>2741</v>
      </c>
    </row>
    <row r="1134" spans="1:15" s="54" customFormat="1" x14ac:dyDescent="0.2">
      <c r="A1134" s="4">
        <v>1435041</v>
      </c>
      <c r="B1134" s="2" t="s">
        <v>2383</v>
      </c>
      <c r="C1134" s="2" t="s">
        <v>2379</v>
      </c>
      <c r="D1134" s="7">
        <f>9</f>
        <v>9</v>
      </c>
      <c r="E1134" s="7">
        <f>0</f>
        <v>0</v>
      </c>
      <c r="F1134" s="17">
        <f>15</f>
        <v>15</v>
      </c>
      <c r="G1134" s="17">
        <f>8</f>
        <v>8</v>
      </c>
      <c r="H1134" s="17">
        <f>224</f>
        <v>224</v>
      </c>
      <c r="I1134" s="16">
        <f>H1134/(F1134-G1134)</f>
        <v>32</v>
      </c>
      <c r="J1134" s="17" t="s">
        <v>412</v>
      </c>
      <c r="K1134" s="25">
        <f>63.2</f>
        <v>63.2</v>
      </c>
      <c r="L1134" s="25">
        <f>15</f>
        <v>15</v>
      </c>
      <c r="M1134" s="25">
        <f>227</f>
        <v>227</v>
      </c>
      <c r="N1134" s="24">
        <f>M1134/L1134</f>
        <v>15.133333333333333</v>
      </c>
      <c r="O1134" s="49" t="s">
        <v>2027</v>
      </c>
    </row>
    <row r="1135" spans="1:15" s="54" customFormat="1" x14ac:dyDescent="0.2">
      <c r="A1135" s="4">
        <v>694184</v>
      </c>
      <c r="B1135" s="52" t="s">
        <v>1405</v>
      </c>
      <c r="C1135" s="2" t="s">
        <v>27</v>
      </c>
      <c r="D1135" s="7">
        <f>0</f>
        <v>0</v>
      </c>
      <c r="E1135" s="7">
        <f>0</f>
        <v>0</v>
      </c>
      <c r="F1135" s="17">
        <f>1</f>
        <v>1</v>
      </c>
      <c r="G1135" s="17">
        <f>0</f>
        <v>0</v>
      </c>
      <c r="H1135" s="17">
        <f>1</f>
        <v>1</v>
      </c>
      <c r="I1135" s="16">
        <f>H1135/(F1135-G1135)</f>
        <v>1</v>
      </c>
      <c r="J1135" s="17">
        <v>1</v>
      </c>
      <c r="K1135" s="25">
        <f>9</f>
        <v>9</v>
      </c>
      <c r="L1135" s="25">
        <f>2</f>
        <v>2</v>
      </c>
      <c r="M1135" s="25">
        <f>26</f>
        <v>26</v>
      </c>
      <c r="N1135" s="24">
        <f>M1135/L1135</f>
        <v>13</v>
      </c>
      <c r="O1135" s="49" t="s">
        <v>1473</v>
      </c>
    </row>
    <row r="1136" spans="1:15" s="54" customFormat="1" x14ac:dyDescent="0.2">
      <c r="A1136" s="4">
        <v>2320716</v>
      </c>
      <c r="B1136" s="52" t="s">
        <v>2484</v>
      </c>
      <c r="C1136" s="2" t="s">
        <v>2485</v>
      </c>
      <c r="D1136" s="7">
        <v>0</v>
      </c>
      <c r="E1136" s="7">
        <v>0</v>
      </c>
      <c r="F1136" s="17">
        <v>1</v>
      </c>
      <c r="G1136" s="17">
        <v>0</v>
      </c>
      <c r="H1136" s="17">
        <v>0</v>
      </c>
      <c r="I1136" s="16">
        <f>H1136/(F1136-G1136)</f>
        <v>0</v>
      </c>
      <c r="J1136" s="17">
        <v>0</v>
      </c>
      <c r="K1136" s="25">
        <v>16.3</v>
      </c>
      <c r="L1136" s="25">
        <v>3</v>
      </c>
      <c r="M1136" s="25">
        <v>36</v>
      </c>
      <c r="N1136" s="24">
        <f>M1136/L1136</f>
        <v>12</v>
      </c>
      <c r="O1136" s="49" t="s">
        <v>2486</v>
      </c>
    </row>
    <row r="1137" spans="1:15" s="54" customFormat="1" x14ac:dyDescent="0.2">
      <c r="A1137" s="4">
        <v>2086915</v>
      </c>
      <c r="B1137" s="2" t="s">
        <v>2384</v>
      </c>
      <c r="C1137" s="2" t="s">
        <v>217</v>
      </c>
      <c r="D1137" s="7">
        <f>0</f>
        <v>0</v>
      </c>
      <c r="E1137" s="7">
        <f>1</f>
        <v>1</v>
      </c>
      <c r="F1137" s="17">
        <f>4</f>
        <v>4</v>
      </c>
      <c r="G1137" s="17">
        <f>2</f>
        <v>2</v>
      </c>
      <c r="H1137" s="17">
        <f>6</f>
        <v>6</v>
      </c>
      <c r="I1137" s="16">
        <f>H1137/(F1137-G1137)</f>
        <v>3</v>
      </c>
      <c r="J1137" s="17">
        <v>3</v>
      </c>
      <c r="K1137" s="25">
        <f>9</f>
        <v>9</v>
      </c>
      <c r="L1137" s="25">
        <f>2</f>
        <v>2</v>
      </c>
      <c r="M1137" s="25">
        <f>36</f>
        <v>36</v>
      </c>
      <c r="N1137" s="24">
        <f>M1137/L1137</f>
        <v>18</v>
      </c>
      <c r="O1137" s="49" t="s">
        <v>1385</v>
      </c>
    </row>
    <row r="1138" spans="1:15" s="54" customFormat="1" x14ac:dyDescent="0.2">
      <c r="A1138" s="84">
        <v>1443833</v>
      </c>
      <c r="B1138" s="86" t="s">
        <v>1575</v>
      </c>
      <c r="C1138" s="2" t="s">
        <v>1576</v>
      </c>
      <c r="D1138" s="7">
        <f>1</f>
        <v>1</v>
      </c>
      <c r="E1138" s="7">
        <f>0</f>
        <v>0</v>
      </c>
      <c r="F1138" s="17">
        <f>2</f>
        <v>2</v>
      </c>
      <c r="G1138" s="17">
        <f>0</f>
        <v>0</v>
      </c>
      <c r="H1138" s="17">
        <f>46</f>
        <v>46</v>
      </c>
      <c r="I1138" s="16">
        <f>H1138/(F1138-G1138)</f>
        <v>23</v>
      </c>
      <c r="J1138" s="17">
        <v>25</v>
      </c>
      <c r="K1138" s="25">
        <f>3</f>
        <v>3</v>
      </c>
      <c r="L1138" s="25">
        <f>0</f>
        <v>0</v>
      </c>
      <c r="M1138" s="25">
        <f>20</f>
        <v>20</v>
      </c>
      <c r="N1138" s="24" t="e">
        <f>M1138/L1138</f>
        <v>#DIV/0!</v>
      </c>
      <c r="O1138" s="49" t="s">
        <v>1644</v>
      </c>
    </row>
    <row r="1139" spans="1:15" s="54" customFormat="1" x14ac:dyDescent="0.2">
      <c r="A1139" s="84">
        <v>1911236</v>
      </c>
      <c r="B1139" s="2" t="s">
        <v>2191</v>
      </c>
      <c r="C1139" s="2" t="s">
        <v>2192</v>
      </c>
      <c r="D1139" s="7">
        <f>0</f>
        <v>0</v>
      </c>
      <c r="E1139" s="7"/>
      <c r="F1139" s="17">
        <f>7</f>
        <v>7</v>
      </c>
      <c r="G1139" s="17">
        <f>1</f>
        <v>1</v>
      </c>
      <c r="H1139" s="17">
        <f>39</f>
        <v>39</v>
      </c>
      <c r="I1139" s="16">
        <f>H1139/(F1139-G1139)</f>
        <v>6.5</v>
      </c>
      <c r="J1139" s="17">
        <v>17</v>
      </c>
      <c r="K1139" s="25"/>
      <c r="L1139" s="25"/>
      <c r="M1139" s="25"/>
      <c r="N1139" s="24" t="e">
        <f>M1139/L1139</f>
        <v>#DIV/0!</v>
      </c>
      <c r="O1139" s="23"/>
    </row>
    <row r="1140" spans="1:15" s="54" customFormat="1" x14ac:dyDescent="0.2">
      <c r="A1140" s="57"/>
      <c r="B1140" s="58" t="s">
        <v>2717</v>
      </c>
      <c r="C1140" s="58" t="s">
        <v>2718</v>
      </c>
      <c r="D1140" s="59">
        <v>3</v>
      </c>
      <c r="E1140" s="59"/>
      <c r="F1140" s="60">
        <f>1+13</f>
        <v>14</v>
      </c>
      <c r="G1140" s="60">
        <f>0</f>
        <v>0</v>
      </c>
      <c r="H1140" s="60">
        <f>22+252</f>
        <v>274</v>
      </c>
      <c r="I1140" s="61">
        <f>H1140/(F1140-G1140)</f>
        <v>19.571428571428573</v>
      </c>
      <c r="J1140" s="60">
        <v>88</v>
      </c>
      <c r="K1140" s="62">
        <v>8</v>
      </c>
      <c r="L1140" s="62">
        <v>2</v>
      </c>
      <c r="M1140" s="62">
        <v>15</v>
      </c>
      <c r="N1140" s="63">
        <f>M1140/L1140</f>
        <v>7.5</v>
      </c>
      <c r="O1140" s="66" t="s">
        <v>1351</v>
      </c>
    </row>
    <row r="1141" spans="1:15" s="54" customFormat="1" x14ac:dyDescent="0.2">
      <c r="A1141" s="4">
        <v>2091291</v>
      </c>
      <c r="B1141" s="2" t="s">
        <v>2385</v>
      </c>
      <c r="C1141" s="2" t="s">
        <v>2386</v>
      </c>
      <c r="D1141" s="7">
        <f>0+2</f>
        <v>2</v>
      </c>
      <c r="E1141" s="7">
        <f>0</f>
        <v>0</v>
      </c>
      <c r="F1141" s="17">
        <f>13+12</f>
        <v>25</v>
      </c>
      <c r="G1141" s="17">
        <f>4+7</f>
        <v>11</v>
      </c>
      <c r="H1141" s="17">
        <f>26+59</f>
        <v>85</v>
      </c>
      <c r="I1141" s="16">
        <f>H1141/(F1141-G1141)</f>
        <v>6.0714285714285712</v>
      </c>
      <c r="J1141" s="17" t="s">
        <v>364</v>
      </c>
      <c r="K1141" s="25">
        <f>36+36</f>
        <v>72</v>
      </c>
      <c r="L1141" s="25">
        <f>3+10</f>
        <v>13</v>
      </c>
      <c r="M1141" s="25">
        <f>165+157</f>
        <v>322</v>
      </c>
      <c r="N1141" s="24">
        <f>M1141/L1141</f>
        <v>24.76923076923077</v>
      </c>
      <c r="O1141" s="49" t="s">
        <v>1512</v>
      </c>
    </row>
    <row r="1142" spans="1:15" s="54" customFormat="1" x14ac:dyDescent="0.2">
      <c r="A1142" s="84">
        <v>2167791</v>
      </c>
      <c r="B1142" s="2" t="s">
        <v>2614</v>
      </c>
      <c r="C1142" s="2" t="s">
        <v>2615</v>
      </c>
      <c r="D1142" s="7">
        <v>0</v>
      </c>
      <c r="E1142" s="7">
        <v>0</v>
      </c>
      <c r="F1142" s="17">
        <v>8</v>
      </c>
      <c r="G1142" s="17">
        <v>5</v>
      </c>
      <c r="H1142" s="17">
        <v>23</v>
      </c>
      <c r="I1142" s="16">
        <f>H1142/(F1142-G1142)</f>
        <v>7.666666666666667</v>
      </c>
      <c r="J1142" s="17" t="s">
        <v>271</v>
      </c>
      <c r="K1142" s="25">
        <v>22</v>
      </c>
      <c r="L1142" s="25">
        <v>4</v>
      </c>
      <c r="M1142" s="25">
        <v>56</v>
      </c>
      <c r="N1142" s="24">
        <f>M1142/L1142</f>
        <v>14</v>
      </c>
      <c r="O1142" s="49" t="s">
        <v>2285</v>
      </c>
    </row>
    <row r="1143" spans="1:15" s="54" customFormat="1" x14ac:dyDescent="0.2">
      <c r="A1143" s="4"/>
      <c r="B1143" s="2" t="s">
        <v>1100</v>
      </c>
      <c r="C1143" s="2" t="s">
        <v>162</v>
      </c>
      <c r="D1143" s="7">
        <f>9+1</f>
        <v>10</v>
      </c>
      <c r="E1143" s="7"/>
      <c r="F1143" s="17">
        <f>39+7</f>
        <v>46</v>
      </c>
      <c r="G1143" s="17">
        <f>4+0</f>
        <v>4</v>
      </c>
      <c r="H1143" s="17">
        <f>583+56</f>
        <v>639</v>
      </c>
      <c r="I1143" s="16">
        <f>H1143/(F1143-G1143)</f>
        <v>15.214285714285714</v>
      </c>
      <c r="J1143" s="17">
        <v>73</v>
      </c>
      <c r="K1143" s="25">
        <f>351+66</f>
        <v>417</v>
      </c>
      <c r="L1143" s="25">
        <f>79+15</f>
        <v>94</v>
      </c>
      <c r="M1143" s="25">
        <f>979+184</f>
        <v>1163</v>
      </c>
      <c r="N1143" s="24">
        <f>M1143/L1143</f>
        <v>12.372340425531915</v>
      </c>
      <c r="O1143" s="23"/>
    </row>
    <row r="1144" spans="1:15" s="54" customFormat="1" x14ac:dyDescent="0.2">
      <c r="A1144" s="4"/>
      <c r="B1144" s="2" t="s">
        <v>1101</v>
      </c>
      <c r="C1144" s="2" t="s">
        <v>12</v>
      </c>
      <c r="D1144" s="7"/>
      <c r="E1144" s="7"/>
      <c r="F1144" s="17">
        <v>7</v>
      </c>
      <c r="G1144" s="17">
        <v>2</v>
      </c>
      <c r="H1144" s="17">
        <v>12</v>
      </c>
      <c r="I1144" s="16">
        <f>H1144/(F1144-G1144)</f>
        <v>2.4</v>
      </c>
      <c r="J1144" s="17">
        <v>11</v>
      </c>
      <c r="K1144" s="25">
        <v>14</v>
      </c>
      <c r="L1144" s="25">
        <v>4</v>
      </c>
      <c r="M1144" s="25">
        <v>39</v>
      </c>
      <c r="N1144" s="24">
        <f>M1144/L1144</f>
        <v>9.75</v>
      </c>
      <c r="O1144" s="23"/>
    </row>
    <row r="1145" spans="1:15" s="54" customFormat="1" x14ac:dyDescent="0.2">
      <c r="A1145" s="57">
        <v>626409</v>
      </c>
      <c r="B1145" s="58" t="s">
        <v>2595</v>
      </c>
      <c r="C1145" s="58" t="s">
        <v>2596</v>
      </c>
      <c r="D1145" s="59">
        <v>4</v>
      </c>
      <c r="E1145" s="59">
        <v>0</v>
      </c>
      <c r="F1145" s="60">
        <f>10+1+1+14</f>
        <v>26</v>
      </c>
      <c r="G1145" s="60">
        <f>2+1</f>
        <v>3</v>
      </c>
      <c r="H1145" s="60">
        <f>205+57+68+828</f>
        <v>1158</v>
      </c>
      <c r="I1145" s="61">
        <f>H1145/(F1145-G1145)</f>
        <v>50.347826086956523</v>
      </c>
      <c r="J1145" s="60" t="s">
        <v>2696</v>
      </c>
      <c r="K1145" s="62">
        <f>63+4+7+120.5</f>
        <v>194.5</v>
      </c>
      <c r="L1145" s="62">
        <f>15+21</f>
        <v>36</v>
      </c>
      <c r="M1145" s="62">
        <f>110+9+31+399</f>
        <v>549</v>
      </c>
      <c r="N1145" s="63">
        <f>M1145/L1145</f>
        <v>15.25</v>
      </c>
      <c r="O1145" s="66" t="s">
        <v>1360</v>
      </c>
    </row>
    <row r="1146" spans="1:15" s="54" customFormat="1" x14ac:dyDescent="0.2">
      <c r="A1146" s="57">
        <v>2115697</v>
      </c>
      <c r="B1146" s="58" t="s">
        <v>2450</v>
      </c>
      <c r="C1146" s="58" t="s">
        <v>2387</v>
      </c>
      <c r="D1146" s="59">
        <f>0+0+1</f>
        <v>1</v>
      </c>
      <c r="E1146" s="59">
        <f>0+0</f>
        <v>0</v>
      </c>
      <c r="F1146" s="60">
        <f>3+9+13</f>
        <v>25</v>
      </c>
      <c r="G1146" s="60">
        <f>3+6+2</f>
        <v>11</v>
      </c>
      <c r="H1146" s="60">
        <f>3+12+4</f>
        <v>19</v>
      </c>
      <c r="I1146" s="61">
        <f>H1146/(F1146-G1146)</f>
        <v>1.3571428571428572</v>
      </c>
      <c r="J1146" s="60" t="s">
        <v>289</v>
      </c>
      <c r="K1146" s="62">
        <f>6+26+26</f>
        <v>58</v>
      </c>
      <c r="L1146" s="62">
        <f>0+3+5</f>
        <v>8</v>
      </c>
      <c r="M1146" s="62">
        <f>21+124+159</f>
        <v>304</v>
      </c>
      <c r="N1146" s="63">
        <f>M1146/L1146</f>
        <v>38</v>
      </c>
      <c r="O1146" s="66" t="s">
        <v>1640</v>
      </c>
    </row>
    <row r="1147" spans="1:15" s="54" customFormat="1" x14ac:dyDescent="0.2">
      <c r="A1147" s="4">
        <v>2115727</v>
      </c>
      <c r="B1147" s="2" t="s">
        <v>2534</v>
      </c>
      <c r="C1147" s="2" t="s">
        <v>2535</v>
      </c>
      <c r="D1147" s="7">
        <v>0</v>
      </c>
      <c r="E1147" s="7">
        <v>0</v>
      </c>
      <c r="F1147" s="17">
        <v>7</v>
      </c>
      <c r="G1147" s="17">
        <v>7</v>
      </c>
      <c r="H1147" s="17">
        <v>12</v>
      </c>
      <c r="I1147" s="16" t="e">
        <f>H1147/(F1147-G1147)</f>
        <v>#DIV/0!</v>
      </c>
      <c r="J1147" s="17" t="s">
        <v>271</v>
      </c>
      <c r="K1147" s="25">
        <v>14.5</v>
      </c>
      <c r="L1147" s="25">
        <v>2</v>
      </c>
      <c r="M1147" s="25">
        <v>45</v>
      </c>
      <c r="N1147" s="24">
        <f>M1147/L1147</f>
        <v>22.5</v>
      </c>
      <c r="O1147" s="49" t="s">
        <v>1794</v>
      </c>
    </row>
    <row r="1148" spans="1:15" s="54" customFormat="1" x14ac:dyDescent="0.2">
      <c r="A1148" s="4"/>
      <c r="B1148" s="2" t="s">
        <v>1102</v>
      </c>
      <c r="C1148" s="2" t="s">
        <v>59</v>
      </c>
      <c r="D1148" s="7">
        <f>3+6+5+9+7+3</f>
        <v>33</v>
      </c>
      <c r="E1148" s="7"/>
      <c r="F1148" s="17">
        <f>10+12+13+14+8+3</f>
        <v>60</v>
      </c>
      <c r="G1148" s="17">
        <f>0+2+0+2+1</f>
        <v>5</v>
      </c>
      <c r="H1148" s="17">
        <f>224+198+349+367+135+50</f>
        <v>1323</v>
      </c>
      <c r="I1148" s="16">
        <f>H1148/(F1148-G1148)</f>
        <v>24.054545454545455</v>
      </c>
      <c r="J1148" s="17">
        <v>83</v>
      </c>
      <c r="K1148" s="25">
        <f>62+66+103+64+64+15.4</f>
        <v>374.4</v>
      </c>
      <c r="L1148" s="25">
        <f>9+20+16+8+15+6</f>
        <v>74</v>
      </c>
      <c r="M1148" s="25">
        <f>213+251+318+340+209+59</f>
        <v>1390</v>
      </c>
      <c r="N1148" s="24">
        <f>M1148/L1148</f>
        <v>18.783783783783782</v>
      </c>
      <c r="O1148" s="23"/>
    </row>
    <row r="1149" spans="1:15" s="54" customFormat="1" x14ac:dyDescent="0.2">
      <c r="A1149" s="4"/>
      <c r="B1149" s="4" t="s">
        <v>1103</v>
      </c>
      <c r="C1149" s="2" t="s">
        <v>275</v>
      </c>
      <c r="D1149" s="7">
        <v>0</v>
      </c>
      <c r="E1149" s="7"/>
      <c r="F1149" s="17">
        <v>9</v>
      </c>
      <c r="G1149" s="17">
        <v>3</v>
      </c>
      <c r="H1149" s="17">
        <v>4</v>
      </c>
      <c r="I1149" s="16">
        <f>H1149/(F1149-G1149)</f>
        <v>0.66666666666666663</v>
      </c>
      <c r="J1149" s="17" t="s">
        <v>276</v>
      </c>
      <c r="K1149" s="25">
        <v>26</v>
      </c>
      <c r="L1149" s="25">
        <v>2</v>
      </c>
      <c r="M1149" s="25">
        <v>148</v>
      </c>
      <c r="N1149" s="24">
        <f>M1149/L1149</f>
        <v>74</v>
      </c>
      <c r="O1149" s="23"/>
    </row>
    <row r="1150" spans="1:15" s="54" customFormat="1" x14ac:dyDescent="0.2">
      <c r="A1150" s="4"/>
      <c r="B1150" s="4" t="s">
        <v>1104</v>
      </c>
      <c r="C1150" s="2" t="s">
        <v>80</v>
      </c>
      <c r="D1150" s="7">
        <f>5+5+1</f>
        <v>11</v>
      </c>
      <c r="E1150" s="7"/>
      <c r="F1150" s="17">
        <f>8+5+4</f>
        <v>17</v>
      </c>
      <c r="G1150" s="17">
        <f>3+1+0</f>
        <v>4</v>
      </c>
      <c r="H1150" s="17">
        <f>11+11+11</f>
        <v>33</v>
      </c>
      <c r="I1150" s="16">
        <f>H1150/(F1150-G1150)</f>
        <v>2.5384615384615383</v>
      </c>
      <c r="J1150" s="17" t="s">
        <v>271</v>
      </c>
      <c r="K1150" s="25">
        <f>23+47+24</f>
        <v>94</v>
      </c>
      <c r="L1150" s="25">
        <f>4+10+5</f>
        <v>19</v>
      </c>
      <c r="M1150" s="25">
        <f>77+183+79</f>
        <v>339</v>
      </c>
      <c r="N1150" s="24">
        <f>M1150/L1150</f>
        <v>17.842105263157894</v>
      </c>
      <c r="O1150" s="23"/>
    </row>
    <row r="1151" spans="1:15" s="54" customFormat="1" x14ac:dyDescent="0.2">
      <c r="A1151" s="4"/>
      <c r="B1151" s="2" t="s">
        <v>1105</v>
      </c>
      <c r="C1151" s="2" t="s">
        <v>72</v>
      </c>
      <c r="D1151" s="7">
        <f>3+0</f>
        <v>3</v>
      </c>
      <c r="E1151" s="7"/>
      <c r="F1151" s="17">
        <f>10+1</f>
        <v>11</v>
      </c>
      <c r="G1151" s="17">
        <f>1+0</f>
        <v>1</v>
      </c>
      <c r="H1151" s="17">
        <f>109+24</f>
        <v>133</v>
      </c>
      <c r="I1151" s="16">
        <f>H1151/(F1151-G1151)</f>
        <v>13.3</v>
      </c>
      <c r="J1151" s="17">
        <v>48</v>
      </c>
      <c r="K1151" s="25">
        <f>74.5+7</f>
        <v>81.5</v>
      </c>
      <c r="L1151" s="25">
        <f>11+1</f>
        <v>12</v>
      </c>
      <c r="M1151" s="25">
        <f>251+21</f>
        <v>272</v>
      </c>
      <c r="N1151" s="24">
        <f>M1151/L1151</f>
        <v>22.666666666666668</v>
      </c>
      <c r="O1151" s="23"/>
    </row>
    <row r="1152" spans="1:15" s="54" customFormat="1" x14ac:dyDescent="0.2">
      <c r="A1152" s="4"/>
      <c r="B1152" s="2" t="s">
        <v>1106</v>
      </c>
      <c r="C1152" s="2" t="s">
        <v>10</v>
      </c>
      <c r="D1152" s="7">
        <v>9</v>
      </c>
      <c r="E1152" s="7"/>
      <c r="F1152" s="17">
        <v>13</v>
      </c>
      <c r="G1152" s="17">
        <v>4</v>
      </c>
      <c r="H1152" s="17">
        <v>90</v>
      </c>
      <c r="I1152" s="16">
        <f>H1152/(F1152-G1152)</f>
        <v>10</v>
      </c>
      <c r="J1152" s="17">
        <v>27</v>
      </c>
      <c r="K1152" s="25">
        <v>25.1</v>
      </c>
      <c r="L1152" s="25">
        <v>11</v>
      </c>
      <c r="M1152" s="25">
        <v>67</v>
      </c>
      <c r="N1152" s="24">
        <f>M1152/L1152</f>
        <v>6.0909090909090908</v>
      </c>
      <c r="O1152" s="23"/>
    </row>
    <row r="1153" spans="1:15" s="54" customFormat="1" x14ac:dyDescent="0.2">
      <c r="A1153" s="4"/>
      <c r="B1153" s="2" t="s">
        <v>1107</v>
      </c>
      <c r="C1153" s="2" t="s">
        <v>10</v>
      </c>
      <c r="D1153" s="7">
        <v>4</v>
      </c>
      <c r="E1153" s="7"/>
      <c r="F1153" s="17">
        <v>10</v>
      </c>
      <c r="G1153" s="17">
        <v>1</v>
      </c>
      <c r="H1153" s="17">
        <v>90</v>
      </c>
      <c r="I1153" s="16">
        <f>H1153/(F1153-G1153)</f>
        <v>10</v>
      </c>
      <c r="J1153" s="17">
        <v>33</v>
      </c>
      <c r="K1153" s="25">
        <v>35.1</v>
      </c>
      <c r="L1153" s="25">
        <v>5</v>
      </c>
      <c r="M1153" s="25">
        <v>77</v>
      </c>
      <c r="N1153" s="24">
        <f>M1153/L1153</f>
        <v>15.4</v>
      </c>
      <c r="O1153" s="23"/>
    </row>
    <row r="1154" spans="1:15" s="54" customFormat="1" x14ac:dyDescent="0.2">
      <c r="A1154" s="4"/>
      <c r="B1154" s="2" t="s">
        <v>1108</v>
      </c>
      <c r="C1154" s="2" t="s">
        <v>59</v>
      </c>
      <c r="D1154" s="7">
        <f>3+9+8+10</f>
        <v>30</v>
      </c>
      <c r="E1154" s="7"/>
      <c r="F1154" s="17">
        <f>15+11+15+14</f>
        <v>55</v>
      </c>
      <c r="G1154" s="17">
        <f>2+3+5+2</f>
        <v>12</v>
      </c>
      <c r="H1154" s="17">
        <f>491+383+732+430</f>
        <v>2036</v>
      </c>
      <c r="I1154" s="16">
        <f>H1154/(F1154-G1154)</f>
        <v>47.348837209302324</v>
      </c>
      <c r="J1154" s="17" t="s">
        <v>331</v>
      </c>
      <c r="K1154" s="25">
        <f>6+0+24+36</f>
        <v>66</v>
      </c>
      <c r="L1154" s="25">
        <f>0+8+9</f>
        <v>17</v>
      </c>
      <c r="M1154" s="25">
        <f>37+0+111+192</f>
        <v>340</v>
      </c>
      <c r="N1154" s="24">
        <f>M1154/L1154</f>
        <v>20</v>
      </c>
      <c r="O1154" s="23"/>
    </row>
    <row r="1155" spans="1:15" s="54" customFormat="1" x14ac:dyDescent="0.2">
      <c r="A1155" s="4"/>
      <c r="B1155" s="2" t="s">
        <v>1109</v>
      </c>
      <c r="C1155" s="2" t="s">
        <v>9</v>
      </c>
      <c r="D1155" s="7">
        <v>2</v>
      </c>
      <c r="E1155" s="7"/>
      <c r="F1155" s="17">
        <v>15</v>
      </c>
      <c r="G1155" s="17">
        <v>5</v>
      </c>
      <c r="H1155" s="17">
        <v>45</v>
      </c>
      <c r="I1155" s="16">
        <f>H1155/(F1155-G1155)</f>
        <v>4.5</v>
      </c>
      <c r="J1155" s="17">
        <v>12</v>
      </c>
      <c r="K1155" s="25">
        <v>47</v>
      </c>
      <c r="L1155" s="25">
        <v>11</v>
      </c>
      <c r="M1155" s="25">
        <f>129</f>
        <v>129</v>
      </c>
      <c r="N1155" s="24">
        <f>M1155/L1155</f>
        <v>11.727272727272727</v>
      </c>
      <c r="O1155" s="23"/>
    </row>
    <row r="1156" spans="1:15" s="54" customFormat="1" x14ac:dyDescent="0.2">
      <c r="A1156" s="64">
        <v>703205</v>
      </c>
      <c r="B1156" s="80" t="s">
        <v>1577</v>
      </c>
      <c r="C1156" s="58" t="s">
        <v>63</v>
      </c>
      <c r="D1156" s="59">
        <f>3+1+1+0+1+1</f>
        <v>7</v>
      </c>
      <c r="E1156" s="59">
        <f>0+0+0+0</f>
        <v>0</v>
      </c>
      <c r="F1156" s="60">
        <f>7+8+3+5+2+8</f>
        <v>33</v>
      </c>
      <c r="G1156" s="60">
        <f>2+3+3+2+1+2</f>
        <v>13</v>
      </c>
      <c r="H1156" s="60">
        <f>66+11+8+12+26+48</f>
        <v>171</v>
      </c>
      <c r="I1156" s="61">
        <f>H1156/(F1156-G1156)</f>
        <v>8.5500000000000007</v>
      </c>
      <c r="J1156" s="60">
        <v>33</v>
      </c>
      <c r="K1156" s="62">
        <f>2+2+0</f>
        <v>4</v>
      </c>
      <c r="L1156" s="62">
        <f>2+0+0</f>
        <v>2</v>
      </c>
      <c r="M1156" s="62">
        <f>4+10+0</f>
        <v>14</v>
      </c>
      <c r="N1156" s="63">
        <f>M1156/L1156</f>
        <v>7</v>
      </c>
      <c r="O1156" s="66" t="s">
        <v>1391</v>
      </c>
    </row>
    <row r="1157" spans="1:15" s="54" customFormat="1" x14ac:dyDescent="0.2">
      <c r="A1157" s="4">
        <v>692021</v>
      </c>
      <c r="B1157" s="2" t="s">
        <v>1110</v>
      </c>
      <c r="C1157" s="2" t="s">
        <v>311</v>
      </c>
      <c r="D1157" s="7">
        <f>2+3+2+2+2+0+3+2</f>
        <v>16</v>
      </c>
      <c r="E1157" s="7">
        <f>0</f>
        <v>0</v>
      </c>
      <c r="F1157" s="17">
        <f>15+9+12+11+1+12+0+8+1</f>
        <v>69</v>
      </c>
      <c r="G1157" s="17">
        <f>3+2+0+4+0</f>
        <v>9</v>
      </c>
      <c r="H1157" s="17">
        <f>62+46+57+149+155+25+0</f>
        <v>494</v>
      </c>
      <c r="I1157" s="16">
        <f>H1157/(F1157-G1157)</f>
        <v>8.2333333333333325</v>
      </c>
      <c r="J1157" s="17">
        <v>48</v>
      </c>
      <c r="K1157" s="25">
        <f>30+47+35+26+4+159+13+42.1+28.3</f>
        <v>384.40000000000003</v>
      </c>
      <c r="L1157" s="25">
        <f>7+12+3+9+2+50+4+6+3</f>
        <v>96</v>
      </c>
      <c r="M1157" s="25">
        <f>108+89+135+130+8+422+33+155+78</f>
        <v>1158</v>
      </c>
      <c r="N1157" s="24">
        <f>M1157/L1157</f>
        <v>12.0625</v>
      </c>
      <c r="O1157" s="49" t="s">
        <v>1385</v>
      </c>
    </row>
    <row r="1158" spans="1:15" s="54" customFormat="1" x14ac:dyDescent="0.2">
      <c r="A1158" s="57">
        <v>682307</v>
      </c>
      <c r="B1158" s="58" t="s">
        <v>1111</v>
      </c>
      <c r="C1158" s="58" t="s">
        <v>341</v>
      </c>
      <c r="D1158" s="59">
        <f>5+3+3+10+2+8+1+7+6+1+2+4+9+3+5+8+11+13+9+1+10+5+0+7+6</f>
        <v>139</v>
      </c>
      <c r="E1158" s="59">
        <f>0+0+0+0+0+0</f>
        <v>0</v>
      </c>
      <c r="F1158" s="60">
        <f>16+13+2+11+12+1+4+1+13+3+19+9+5+3+10+9+9+14+13+14+11+8+2+14+13+2+6+11</f>
        <v>248</v>
      </c>
      <c r="G1158" s="60">
        <f>3+2+1+1+1+0+1+0+0+1+0+1+2+1+0+0+0+1+0+0+1</f>
        <v>16</v>
      </c>
      <c r="H1158" s="60">
        <f>293+294+23+244+198+3+21+17+634+123+474+188+38+190+119+134+184+362+325+250+129+182+46+558+235+79+274+480</f>
        <v>6097</v>
      </c>
      <c r="I1158" s="61">
        <f>H1158/(F1158-G1158)</f>
        <v>26.280172413793103</v>
      </c>
      <c r="J1158" s="60">
        <v>141</v>
      </c>
      <c r="K1158" s="62">
        <f>38+25+4+26+7+0+18+5+1+30+6+2+4.1+6.3+73.3+(0.4)+18.1+6+0</f>
        <v>270.2</v>
      </c>
      <c r="L1158" s="62">
        <f>6+2+5+0+4+1+0+6+0+0+1+2+12+0+3+0</f>
        <v>42</v>
      </c>
      <c r="M1158" s="62">
        <f>65+58+18+66+8+0+106+33+6+163+35+8+14+31+216+129+42+0</f>
        <v>998</v>
      </c>
      <c r="N1158" s="63">
        <f>M1158/L1158</f>
        <v>23.761904761904763</v>
      </c>
      <c r="O1158" s="66" t="s">
        <v>2466</v>
      </c>
    </row>
    <row r="1159" spans="1:15" s="54" customFormat="1" x14ac:dyDescent="0.2">
      <c r="A1159" s="57">
        <v>681681</v>
      </c>
      <c r="B1159" s="58" t="s">
        <v>1112</v>
      </c>
      <c r="C1159" s="58" t="s">
        <v>383</v>
      </c>
      <c r="D1159" s="68">
        <f>75+3+2+6+5+5+2+5+5+6+8</f>
        <v>122</v>
      </c>
      <c r="E1159" s="59">
        <f>2+0+0+0+0+0+0+0</f>
        <v>2</v>
      </c>
      <c r="F1159" s="60">
        <f>11+2+17+15+15+14+14+9+3+11+13+1+3+1+17+16+16+13+14+12+14+11+16+13+11+9+13</f>
        <v>304</v>
      </c>
      <c r="G1159" s="60">
        <f>1+2+1+1+0+3+0+0+1+0+1+0+2+1+0+1+2+0+1+3+2+1+2+0+1</f>
        <v>26</v>
      </c>
      <c r="H1159" s="60">
        <f>61+2+55+265+205+287+237+112+82+305+0+45+55+547+179+216+270+309+310+250+69+436+171+306+282+523</f>
        <v>5579</v>
      </c>
      <c r="I1159" s="61">
        <f>H1159/(F1159-G1159)</f>
        <v>20.068345323741006</v>
      </c>
      <c r="J1159" s="60">
        <v>132</v>
      </c>
      <c r="K1159" s="62">
        <f>1917.1+141.2</f>
        <v>2058.2999999999997</v>
      </c>
      <c r="L1159" s="62">
        <f>7+6+17+5+8+17+1+2+10+11+4+0+0+15+19+19+18+20+20+22+45+25+9+21+25</f>
        <v>346</v>
      </c>
      <c r="M1159" s="62">
        <f>140+16+135+88+184+175+21+17+382+248+42+11+23+282+422+446+348+392+459+447+321+560+503+341+304+412</f>
        <v>6719</v>
      </c>
      <c r="N1159" s="63">
        <f>M1159/L1159</f>
        <v>19.419075144508671</v>
      </c>
      <c r="O1159" s="66" t="s">
        <v>1801</v>
      </c>
    </row>
    <row r="1160" spans="1:15" s="54" customFormat="1" x14ac:dyDescent="0.2">
      <c r="A1160" s="4"/>
      <c r="B1160" s="2" t="s">
        <v>1113</v>
      </c>
      <c r="C1160" s="2" t="s">
        <v>101</v>
      </c>
      <c r="D1160" s="7">
        <f>5+1+1+0</f>
        <v>7</v>
      </c>
      <c r="E1160" s="7"/>
      <c r="F1160" s="17">
        <f>14+2+2+2</f>
        <v>20</v>
      </c>
      <c r="G1160" s="17">
        <f>1+1+1+1</f>
        <v>4</v>
      </c>
      <c r="H1160" s="17">
        <f>177+9+10+12</f>
        <v>208</v>
      </c>
      <c r="I1160" s="16">
        <f>H1160/(F1160-G1160)</f>
        <v>13</v>
      </c>
      <c r="J1160" s="17">
        <v>63</v>
      </c>
      <c r="K1160" s="25">
        <f>60+0+3+3+12</f>
        <v>78</v>
      </c>
      <c r="L1160" s="25">
        <f>14+0+0+0</f>
        <v>14</v>
      </c>
      <c r="M1160" s="25">
        <f>232+0+31+18</f>
        <v>281</v>
      </c>
      <c r="N1160" s="24">
        <f>M1160/L1160</f>
        <v>20.071428571428573</v>
      </c>
      <c r="O1160" s="23"/>
    </row>
    <row r="1161" spans="1:15" s="54" customFormat="1" x14ac:dyDescent="0.2">
      <c r="A1161" s="4"/>
      <c r="B1161" s="4" t="s">
        <v>1114</v>
      </c>
      <c r="C1161" s="2" t="s">
        <v>215</v>
      </c>
      <c r="D1161" s="7">
        <v>1</v>
      </c>
      <c r="E1161" s="7"/>
      <c r="F1161" s="17">
        <v>7</v>
      </c>
      <c r="G1161" s="17">
        <v>3</v>
      </c>
      <c r="H1161" s="17">
        <v>0</v>
      </c>
      <c r="I1161" s="16">
        <f>H1161/(F1161-G1161)</f>
        <v>0</v>
      </c>
      <c r="J1161" s="17" t="s">
        <v>372</v>
      </c>
      <c r="K1161" s="25">
        <v>5</v>
      </c>
      <c r="L1161" s="25">
        <v>1</v>
      </c>
      <c r="M1161" s="25">
        <v>35</v>
      </c>
      <c r="N1161" s="24">
        <f>M1161/L1161</f>
        <v>35</v>
      </c>
      <c r="O1161" s="23"/>
    </row>
    <row r="1162" spans="1:15" s="54" customFormat="1" x14ac:dyDescent="0.2">
      <c r="A1162" s="4"/>
      <c r="B1162" s="2" t="s">
        <v>1115</v>
      </c>
      <c r="C1162" s="2" t="s">
        <v>19</v>
      </c>
      <c r="D1162" s="7">
        <v>2</v>
      </c>
      <c r="E1162" s="7"/>
      <c r="F1162" s="17">
        <f>5+5</f>
        <v>10</v>
      </c>
      <c r="G1162" s="17">
        <v>1</v>
      </c>
      <c r="H1162" s="17">
        <f>6+3</f>
        <v>9</v>
      </c>
      <c r="I1162" s="16">
        <f>H1162/(F1162-G1162)</f>
        <v>1</v>
      </c>
      <c r="J1162" s="17">
        <v>5</v>
      </c>
      <c r="K1162" s="25">
        <f>20+12</f>
        <v>32</v>
      </c>
      <c r="L1162" s="25">
        <f>5+3</f>
        <v>8</v>
      </c>
      <c r="M1162" s="25">
        <f>149+49</f>
        <v>198</v>
      </c>
      <c r="N1162" s="24">
        <f>M1162/L1162</f>
        <v>24.75</v>
      </c>
      <c r="O1162" s="23"/>
    </row>
    <row r="1163" spans="1:15" s="54" customFormat="1" x14ac:dyDescent="0.2">
      <c r="A1163" s="4"/>
      <c r="B1163" s="2" t="s">
        <v>1116</v>
      </c>
      <c r="C1163" s="2" t="s">
        <v>15</v>
      </c>
      <c r="D1163" s="7">
        <v>11</v>
      </c>
      <c r="E1163" s="7"/>
      <c r="F1163" s="17">
        <v>24</v>
      </c>
      <c r="G1163" s="17">
        <v>3</v>
      </c>
      <c r="H1163" s="17">
        <v>281</v>
      </c>
      <c r="I1163" s="16">
        <f>H1163/(F1163-G1163)</f>
        <v>13.380952380952381</v>
      </c>
      <c r="J1163" s="17">
        <v>78</v>
      </c>
      <c r="K1163" s="25">
        <v>47</v>
      </c>
      <c r="L1163" s="25">
        <v>10</v>
      </c>
      <c r="M1163" s="25">
        <v>127</v>
      </c>
      <c r="N1163" s="24">
        <f>M1163/L1163</f>
        <v>12.7</v>
      </c>
      <c r="O1163" s="23"/>
    </row>
    <row r="1164" spans="1:15" s="54" customFormat="1" x14ac:dyDescent="0.2">
      <c r="A1164" s="4"/>
      <c r="B1164" s="2" t="s">
        <v>1117</v>
      </c>
      <c r="C1164" s="2" t="s">
        <v>11</v>
      </c>
      <c r="D1164" s="7">
        <v>13</v>
      </c>
      <c r="E1164" s="7"/>
      <c r="F1164" s="17">
        <v>34</v>
      </c>
      <c r="G1164" s="17">
        <v>3</v>
      </c>
      <c r="H1164" s="17">
        <v>379</v>
      </c>
      <c r="I1164" s="16">
        <f>H1164/(F1164-G1164)</f>
        <v>12.225806451612904</v>
      </c>
      <c r="J1164" s="17">
        <v>78</v>
      </c>
      <c r="K1164" s="25">
        <v>56</v>
      </c>
      <c r="L1164" s="25">
        <v>11</v>
      </c>
      <c r="M1164" s="25">
        <v>148</v>
      </c>
      <c r="N1164" s="24">
        <f>M1164/L1164</f>
        <v>13.454545454545455</v>
      </c>
      <c r="O1164" s="23"/>
    </row>
    <row r="1165" spans="1:15" s="54" customFormat="1" x14ac:dyDescent="0.2">
      <c r="A1165" s="4">
        <v>752875</v>
      </c>
      <c r="B1165" s="4" t="s">
        <v>1118</v>
      </c>
      <c r="C1165" s="2" t="s">
        <v>55</v>
      </c>
      <c r="D1165" s="7">
        <f>2+5+3</f>
        <v>10</v>
      </c>
      <c r="E1165" s="7">
        <f>0</f>
        <v>0</v>
      </c>
      <c r="F1165" s="17">
        <f>5+10+6</f>
        <v>21</v>
      </c>
      <c r="G1165" s="17">
        <f>0+0+1</f>
        <v>1</v>
      </c>
      <c r="H1165" s="17">
        <f>26+115+44</f>
        <v>185</v>
      </c>
      <c r="I1165" s="16">
        <f>H1165/(F1165-G1165)</f>
        <v>9.25</v>
      </c>
      <c r="J1165" s="17">
        <v>54</v>
      </c>
      <c r="K1165" s="25">
        <f>22+40+15</f>
        <v>77</v>
      </c>
      <c r="L1165" s="25">
        <f>2+8+2</f>
        <v>12</v>
      </c>
      <c r="M1165" s="25">
        <f>55+125+77</f>
        <v>257</v>
      </c>
      <c r="N1165" s="24">
        <f>M1165/L1165</f>
        <v>21.416666666666668</v>
      </c>
      <c r="O1165" s="49" t="s">
        <v>1386</v>
      </c>
    </row>
    <row r="1166" spans="1:15" s="54" customFormat="1" x14ac:dyDescent="0.2">
      <c r="A1166" s="4">
        <v>1073075</v>
      </c>
      <c r="B1166" s="2" t="s">
        <v>1321</v>
      </c>
      <c r="C1166" s="2"/>
      <c r="D1166" s="7">
        <f>3</f>
        <v>3</v>
      </c>
      <c r="E1166" s="7">
        <f>0</f>
        <v>0</v>
      </c>
      <c r="F1166" s="17">
        <f>4</f>
        <v>4</v>
      </c>
      <c r="G1166" s="17">
        <f>2</f>
        <v>2</v>
      </c>
      <c r="H1166" s="17">
        <f>24</f>
        <v>24</v>
      </c>
      <c r="I1166" s="16">
        <f>H1166/(F1166-G1166)</f>
        <v>12</v>
      </c>
      <c r="J1166" s="17">
        <v>17</v>
      </c>
      <c r="K1166" s="25">
        <f>14</f>
        <v>14</v>
      </c>
      <c r="L1166" s="25">
        <f>4</f>
        <v>4</v>
      </c>
      <c r="M1166" s="25">
        <f>43</f>
        <v>43</v>
      </c>
      <c r="N1166" s="24">
        <f>M1166/L1166</f>
        <v>10.75</v>
      </c>
      <c r="O1166" s="49" t="s">
        <v>1387</v>
      </c>
    </row>
    <row r="1167" spans="1:15" s="54" customFormat="1" x14ac:dyDescent="0.2">
      <c r="A1167" s="4"/>
      <c r="B1167" s="4" t="s">
        <v>1119</v>
      </c>
      <c r="C1167" s="2" t="s">
        <v>252</v>
      </c>
      <c r="D1167" s="7">
        <f>2</f>
        <v>2</v>
      </c>
      <c r="E1167" s="7"/>
      <c r="F1167" s="17">
        <f>9</f>
        <v>9</v>
      </c>
      <c r="G1167" s="17">
        <f>3</f>
        <v>3</v>
      </c>
      <c r="H1167" s="17">
        <f>17</f>
        <v>17</v>
      </c>
      <c r="I1167" s="16">
        <f>H1167/(F1167-G1167)</f>
        <v>2.8333333333333335</v>
      </c>
      <c r="J1167" s="17">
        <f>5</f>
        <v>5</v>
      </c>
      <c r="K1167" s="25">
        <f>15</f>
        <v>15</v>
      </c>
      <c r="L1167" s="25">
        <f>6</f>
        <v>6</v>
      </c>
      <c r="M1167" s="25">
        <f>36</f>
        <v>36</v>
      </c>
      <c r="N1167" s="24">
        <f>M1167/L1167</f>
        <v>6</v>
      </c>
      <c r="O1167" s="23"/>
    </row>
    <row r="1168" spans="1:15" s="54" customFormat="1" x14ac:dyDescent="0.2">
      <c r="A1168" s="64">
        <v>1273841</v>
      </c>
      <c r="B1168" s="58" t="s">
        <v>1946</v>
      </c>
      <c r="C1168" s="58" t="s">
        <v>1947</v>
      </c>
      <c r="D1168" s="59">
        <f>1+2+4+6</f>
        <v>13</v>
      </c>
      <c r="E1168" s="59">
        <f>0+1</f>
        <v>1</v>
      </c>
      <c r="F1168" s="60">
        <v>43</v>
      </c>
      <c r="G1168" s="60">
        <f>0+2+5+3</f>
        <v>10</v>
      </c>
      <c r="H1168" s="60">
        <v>688</v>
      </c>
      <c r="I1168" s="61">
        <f>H1168/(F1168-G1168)</f>
        <v>20.848484848484848</v>
      </c>
      <c r="J1168" s="60">
        <v>73</v>
      </c>
      <c r="K1168" s="62">
        <v>103.1</v>
      </c>
      <c r="L1168" s="62">
        <f>3+1+7+8</f>
        <v>19</v>
      </c>
      <c r="M1168" s="62">
        <v>370</v>
      </c>
      <c r="N1168" s="63">
        <f>M1168/L1168</f>
        <v>19.473684210526315</v>
      </c>
      <c r="O1168" s="66" t="s">
        <v>2504</v>
      </c>
    </row>
    <row r="1169" spans="1:15" s="54" customFormat="1" x14ac:dyDescent="0.2">
      <c r="A1169" s="57" t="s">
        <v>2503</v>
      </c>
      <c r="B1169" s="58" t="s">
        <v>2193</v>
      </c>
      <c r="C1169" s="58" t="s">
        <v>1439</v>
      </c>
      <c r="D1169" s="59">
        <v>5</v>
      </c>
      <c r="E1169" s="59">
        <v>0</v>
      </c>
      <c r="F1169" s="60">
        <v>35</v>
      </c>
      <c r="G1169" s="60">
        <v>8</v>
      </c>
      <c r="H1169" s="60">
        <v>138</v>
      </c>
      <c r="I1169" s="61">
        <f>H1169/(F1169-G1169)</f>
        <v>5.1111111111111107</v>
      </c>
      <c r="J1169" s="60">
        <v>41</v>
      </c>
      <c r="K1169" s="62">
        <v>92.4</v>
      </c>
      <c r="L1169" s="62">
        <v>14</v>
      </c>
      <c r="M1169" s="62">
        <v>443</v>
      </c>
      <c r="N1169" s="63">
        <f>M1169/L1169</f>
        <v>31.642857142857142</v>
      </c>
      <c r="O1169" s="66" t="s">
        <v>1370</v>
      </c>
    </row>
    <row r="1170" spans="1:15" s="54" customFormat="1" x14ac:dyDescent="0.2">
      <c r="A1170" s="84">
        <v>1565657</v>
      </c>
      <c r="B1170" s="86" t="s">
        <v>1578</v>
      </c>
      <c r="C1170" s="2" t="s">
        <v>1579</v>
      </c>
      <c r="D1170" s="7">
        <f>1</f>
        <v>1</v>
      </c>
      <c r="E1170" s="7">
        <f>0</f>
        <v>0</v>
      </c>
      <c r="F1170" s="17">
        <f>2</f>
        <v>2</v>
      </c>
      <c r="G1170" s="17">
        <f>1</f>
        <v>1</v>
      </c>
      <c r="H1170" s="17">
        <f>1</f>
        <v>1</v>
      </c>
      <c r="I1170" s="16">
        <f>H1170/(F1170-G1170)</f>
        <v>1</v>
      </c>
      <c r="J1170" s="17">
        <v>1</v>
      </c>
      <c r="K1170" s="25">
        <f>5</f>
        <v>5</v>
      </c>
      <c r="L1170" s="25">
        <f>0</f>
        <v>0</v>
      </c>
      <c r="M1170" s="25">
        <f>21</f>
        <v>21</v>
      </c>
      <c r="N1170" s="24" t="e">
        <f>M1170/L1170</f>
        <v>#DIV/0!</v>
      </c>
      <c r="O1170" s="23"/>
    </row>
    <row r="1171" spans="1:15" s="54" customFormat="1" x14ac:dyDescent="0.2">
      <c r="A1171" s="4"/>
      <c r="B1171" s="2" t="s">
        <v>1120</v>
      </c>
      <c r="C1171" s="2" t="s">
        <v>19</v>
      </c>
      <c r="D1171" s="7">
        <v>2</v>
      </c>
      <c r="E1171" s="7"/>
      <c r="F1171" s="17">
        <v>10</v>
      </c>
      <c r="G1171" s="17">
        <v>2</v>
      </c>
      <c r="H1171" s="17">
        <v>128</v>
      </c>
      <c r="I1171" s="16">
        <f>H1171/(F1171-G1171)</f>
        <v>16</v>
      </c>
      <c r="J1171" s="17">
        <v>57</v>
      </c>
      <c r="K1171" s="25">
        <v>28</v>
      </c>
      <c r="L1171" s="25">
        <v>8</v>
      </c>
      <c r="M1171" s="25">
        <v>113</v>
      </c>
      <c r="N1171" s="24">
        <f>M1171/L1171</f>
        <v>14.125</v>
      </c>
      <c r="O1171" s="23"/>
    </row>
    <row r="1172" spans="1:15" s="54" customFormat="1" x14ac:dyDescent="0.2">
      <c r="A1172" s="4"/>
      <c r="B1172" s="2" t="s">
        <v>1121</v>
      </c>
      <c r="C1172" s="2" t="s">
        <v>20</v>
      </c>
      <c r="D1172" s="7">
        <v>18</v>
      </c>
      <c r="E1172" s="7"/>
      <c r="F1172" s="17">
        <v>57</v>
      </c>
      <c r="G1172" s="17">
        <v>10</v>
      </c>
      <c r="H1172" s="17">
        <v>861</v>
      </c>
      <c r="I1172" s="16">
        <f>H1172/(F1172-G1172)</f>
        <v>18.319148936170212</v>
      </c>
      <c r="J1172" s="17">
        <v>82</v>
      </c>
      <c r="K1172" s="25">
        <v>615</v>
      </c>
      <c r="L1172" s="25">
        <v>101</v>
      </c>
      <c r="M1172" s="25">
        <v>2077</v>
      </c>
      <c r="N1172" s="24">
        <f>M1172/L1172</f>
        <v>20.564356435643564</v>
      </c>
      <c r="O1172" s="23"/>
    </row>
    <row r="1173" spans="1:15" s="54" customFormat="1" x14ac:dyDescent="0.2">
      <c r="A1173" s="4"/>
      <c r="B1173" s="4" t="s">
        <v>1122</v>
      </c>
      <c r="C1173" s="2" t="s">
        <v>218</v>
      </c>
      <c r="D1173" s="7">
        <f>0</f>
        <v>0</v>
      </c>
      <c r="E1173" s="7"/>
      <c r="F1173" s="17">
        <f>8</f>
        <v>8</v>
      </c>
      <c r="G1173" s="17">
        <f>1</f>
        <v>1</v>
      </c>
      <c r="H1173" s="17">
        <f>56</f>
        <v>56</v>
      </c>
      <c r="I1173" s="16">
        <f>H1173/(F1173-G1173)</f>
        <v>8</v>
      </c>
      <c r="J1173" s="17">
        <v>22</v>
      </c>
      <c r="K1173" s="25">
        <f>18</f>
        <v>18</v>
      </c>
      <c r="L1173" s="25">
        <f>0</f>
        <v>0</v>
      </c>
      <c r="M1173" s="25">
        <f>99</f>
        <v>99</v>
      </c>
      <c r="N1173" s="24" t="e">
        <f>M1173/L1173</f>
        <v>#DIV/0!</v>
      </c>
      <c r="O1173" s="23"/>
    </row>
    <row r="1174" spans="1:15" s="54" customFormat="1" x14ac:dyDescent="0.2">
      <c r="A1174" s="4"/>
      <c r="B1174" s="2" t="s">
        <v>1123</v>
      </c>
      <c r="C1174" s="2" t="s">
        <v>79</v>
      </c>
      <c r="D1174" s="7">
        <f>27+3</f>
        <v>30</v>
      </c>
      <c r="E1174" s="7"/>
      <c r="F1174" s="17">
        <f>41+1+1</f>
        <v>43</v>
      </c>
      <c r="G1174" s="17">
        <v>13</v>
      </c>
      <c r="H1174" s="17">
        <f>748+13+5</f>
        <v>766</v>
      </c>
      <c r="I1174" s="16">
        <f>H1174/(F1174-G1174)</f>
        <v>25.533333333333335</v>
      </c>
      <c r="J1174" s="17" t="s">
        <v>444</v>
      </c>
      <c r="K1174" s="25">
        <f>413+28+33</f>
        <v>474</v>
      </c>
      <c r="L1174" s="25">
        <f>62+4+3</f>
        <v>69</v>
      </c>
      <c r="M1174" s="25">
        <f>741+105+111</f>
        <v>957</v>
      </c>
      <c r="N1174" s="24">
        <f>M1174/L1174</f>
        <v>13.869565217391305</v>
      </c>
      <c r="O1174" s="23"/>
    </row>
    <row r="1175" spans="1:15" s="54" customFormat="1" x14ac:dyDescent="0.2">
      <c r="A1175" s="4"/>
      <c r="B1175" s="2" t="s">
        <v>1124</v>
      </c>
      <c r="C1175" s="2" t="s">
        <v>15</v>
      </c>
      <c r="D1175" s="7">
        <v>6</v>
      </c>
      <c r="E1175" s="7"/>
      <c r="F1175" s="17">
        <v>16</v>
      </c>
      <c r="G1175" s="17">
        <v>4</v>
      </c>
      <c r="H1175" s="17">
        <v>554</v>
      </c>
      <c r="I1175" s="16">
        <f>H1175/(F1175-G1175)</f>
        <v>46.166666666666664</v>
      </c>
      <c r="J1175" s="17" t="s">
        <v>328</v>
      </c>
      <c r="K1175" s="25"/>
      <c r="L1175" s="25"/>
      <c r="M1175" s="25"/>
      <c r="N1175" s="24" t="e">
        <f>M1175/L1175</f>
        <v>#DIV/0!</v>
      </c>
      <c r="O1175" s="23"/>
    </row>
    <row r="1176" spans="1:15" s="54" customFormat="1" x14ac:dyDescent="0.2">
      <c r="A1176" s="4"/>
      <c r="B1176" s="2" t="s">
        <v>1125</v>
      </c>
      <c r="C1176" s="2" t="s">
        <v>20</v>
      </c>
      <c r="D1176" s="8">
        <v>49</v>
      </c>
      <c r="E1176" s="7">
        <v>1</v>
      </c>
      <c r="F1176" s="17">
        <v>62</v>
      </c>
      <c r="G1176" s="17">
        <v>6</v>
      </c>
      <c r="H1176" s="17">
        <v>965</v>
      </c>
      <c r="I1176" s="16">
        <f>H1176/(F1176-G1176)</f>
        <v>17.232142857142858</v>
      </c>
      <c r="J1176" s="17" t="s">
        <v>445</v>
      </c>
      <c r="K1176" s="25">
        <v>2</v>
      </c>
      <c r="L1176" s="25">
        <v>1</v>
      </c>
      <c r="M1176" s="25">
        <v>11</v>
      </c>
      <c r="N1176" s="24">
        <f>M1176/L1176</f>
        <v>11</v>
      </c>
      <c r="O1176" s="23"/>
    </row>
    <row r="1177" spans="1:15" s="54" customFormat="1" x14ac:dyDescent="0.2">
      <c r="A1177" s="4">
        <v>681724</v>
      </c>
      <c r="B1177" s="4" t="s">
        <v>1129</v>
      </c>
      <c r="C1177" s="2" t="s">
        <v>295</v>
      </c>
      <c r="D1177" s="7">
        <f>0+2+4+3+2+2</f>
        <v>13</v>
      </c>
      <c r="E1177" s="7">
        <f>0</f>
        <v>0</v>
      </c>
      <c r="F1177" s="17">
        <f>7+5+10+11+7+6</f>
        <v>46</v>
      </c>
      <c r="G1177" s="17">
        <f>1+2+3+3+0+0</f>
        <v>9</v>
      </c>
      <c r="H1177" s="17">
        <f>1+19+31+197+67+39</f>
        <v>354</v>
      </c>
      <c r="I1177" s="16">
        <f>H1177/(F1177-G1177)</f>
        <v>9.5675675675675684</v>
      </c>
      <c r="J1177" s="17">
        <v>52</v>
      </c>
      <c r="K1177" s="25">
        <f>9+20+28+26+55+40.5</f>
        <v>178.5</v>
      </c>
      <c r="L1177" s="25">
        <f>1+2+4+1+11+8</f>
        <v>27</v>
      </c>
      <c r="M1177" s="25">
        <f>31+81+103+105+244+191</f>
        <v>755</v>
      </c>
      <c r="N1177" s="24">
        <f>M1177/L1177</f>
        <v>27.962962962962962</v>
      </c>
      <c r="O1177" s="49" t="s">
        <v>1388</v>
      </c>
    </row>
    <row r="1178" spans="1:15" s="54" customFormat="1" x14ac:dyDescent="0.2">
      <c r="A1178" s="4"/>
      <c r="B1178" s="2" t="s">
        <v>1126</v>
      </c>
      <c r="C1178" s="2" t="s">
        <v>148</v>
      </c>
      <c r="D1178" s="7"/>
      <c r="E1178" s="7"/>
      <c r="F1178" s="17">
        <v>3</v>
      </c>
      <c r="G1178" s="17">
        <v>0</v>
      </c>
      <c r="H1178" s="17">
        <v>32</v>
      </c>
      <c r="I1178" s="16">
        <f>H1178/(F1178-G1178)</f>
        <v>10.666666666666666</v>
      </c>
      <c r="J1178" s="17">
        <v>21</v>
      </c>
      <c r="K1178" s="25"/>
      <c r="L1178" s="25"/>
      <c r="M1178" s="25"/>
      <c r="N1178" s="24" t="e">
        <f>M1178/L1178</f>
        <v>#DIV/0!</v>
      </c>
      <c r="O1178" s="23"/>
    </row>
    <row r="1179" spans="1:15" s="54" customFormat="1" x14ac:dyDescent="0.2">
      <c r="A1179" s="4">
        <v>689473</v>
      </c>
      <c r="B1179" s="2" t="s">
        <v>1128</v>
      </c>
      <c r="C1179" s="2" t="s">
        <v>59</v>
      </c>
      <c r="D1179" s="7">
        <f>2+1+9+0+3+2+1+2+2</f>
        <v>22</v>
      </c>
      <c r="E1179" s="7">
        <f>0+0+1+2+3</f>
        <v>6</v>
      </c>
      <c r="F1179" s="17">
        <f>10+13+11+10+9+12+11</f>
        <v>76</v>
      </c>
      <c r="G1179" s="17">
        <f>0+0+4+2+2+8+5</f>
        <v>21</v>
      </c>
      <c r="H1179" s="17">
        <f>186+234+287+226+233+324+237</f>
        <v>1727</v>
      </c>
      <c r="I1179" s="16">
        <f>H1179/(F1179-G1179)</f>
        <v>31.4</v>
      </c>
      <c r="J1179" s="17">
        <v>100</v>
      </c>
      <c r="K1179" s="25">
        <f>4+1+1</f>
        <v>6</v>
      </c>
      <c r="L1179" s="25">
        <f>0+1+0</f>
        <v>1</v>
      </c>
      <c r="M1179" s="25">
        <f>23+4+5</f>
        <v>32</v>
      </c>
      <c r="N1179" s="24">
        <f>M1179/L1179</f>
        <v>32</v>
      </c>
      <c r="O1179" s="49" t="s">
        <v>1351</v>
      </c>
    </row>
    <row r="1180" spans="1:15" s="54" customFormat="1" x14ac:dyDescent="0.2">
      <c r="A1180" s="4"/>
      <c r="B1180" s="2" t="s">
        <v>1127</v>
      </c>
      <c r="C1180" s="2" t="s">
        <v>89</v>
      </c>
      <c r="D1180" s="7">
        <f>4+3</f>
        <v>7</v>
      </c>
      <c r="E1180" s="7"/>
      <c r="F1180" s="17">
        <f>15+11</f>
        <v>26</v>
      </c>
      <c r="G1180" s="17">
        <f>1+1</f>
        <v>2</v>
      </c>
      <c r="H1180" s="17">
        <f>83+76</f>
        <v>159</v>
      </c>
      <c r="I1180" s="16">
        <f>H1180/(F1180-G1180)</f>
        <v>6.625</v>
      </c>
      <c r="J1180" s="17">
        <v>52</v>
      </c>
      <c r="K1180" s="25">
        <f>116+109</f>
        <v>225</v>
      </c>
      <c r="L1180" s="25">
        <f>20+22</f>
        <v>42</v>
      </c>
      <c r="M1180" s="25">
        <f>393+423</f>
        <v>816</v>
      </c>
      <c r="N1180" s="24">
        <f>M1180/L1180</f>
        <v>19.428571428571427</v>
      </c>
      <c r="O1180" s="23"/>
    </row>
    <row r="1181" spans="1:15" s="54" customFormat="1" x14ac:dyDescent="0.2">
      <c r="A1181" s="4"/>
      <c r="B1181" s="2" t="s">
        <v>1130</v>
      </c>
      <c r="C1181" s="2" t="s">
        <v>181</v>
      </c>
      <c r="D1181" s="7">
        <v>16</v>
      </c>
      <c r="E1181" s="7"/>
      <c r="F1181" s="17">
        <v>12</v>
      </c>
      <c r="G1181" s="17">
        <v>1</v>
      </c>
      <c r="H1181" s="17">
        <v>186</v>
      </c>
      <c r="I1181" s="16">
        <f>H1181/(F1181-G1181)</f>
        <v>16.90909090909091</v>
      </c>
      <c r="J1181" s="17">
        <v>55</v>
      </c>
      <c r="K1181" s="25">
        <v>2</v>
      </c>
      <c r="L1181" s="25">
        <v>0</v>
      </c>
      <c r="M1181" s="25">
        <v>27</v>
      </c>
      <c r="N1181" s="24" t="e">
        <f>M1181/L1181</f>
        <v>#DIV/0!</v>
      </c>
      <c r="O1181" s="23"/>
    </row>
    <row r="1182" spans="1:15" s="54" customFormat="1" x14ac:dyDescent="0.2">
      <c r="A1182" s="4"/>
      <c r="B1182" s="4" t="s">
        <v>1131</v>
      </c>
      <c r="C1182" s="2" t="s">
        <v>211</v>
      </c>
      <c r="D1182" s="7">
        <v>1</v>
      </c>
      <c r="E1182" s="7"/>
      <c r="F1182" s="17">
        <v>11</v>
      </c>
      <c r="G1182" s="17">
        <v>2</v>
      </c>
      <c r="H1182" s="17">
        <v>31</v>
      </c>
      <c r="I1182" s="16">
        <f>H1182/(F1182-G1182)</f>
        <v>3.4444444444444446</v>
      </c>
      <c r="J1182" s="17">
        <v>11</v>
      </c>
      <c r="K1182" s="25">
        <v>17</v>
      </c>
      <c r="L1182" s="25">
        <v>2</v>
      </c>
      <c r="M1182" s="25">
        <v>40</v>
      </c>
      <c r="N1182" s="24">
        <f>M1182/L1182</f>
        <v>20</v>
      </c>
      <c r="O1182" s="23"/>
    </row>
    <row r="1183" spans="1:15" s="54" customFormat="1" x14ac:dyDescent="0.2">
      <c r="A1183" s="4"/>
      <c r="B1183" s="2" t="s">
        <v>1132</v>
      </c>
      <c r="C1183" s="2" t="s">
        <v>9</v>
      </c>
      <c r="D1183" s="7">
        <v>8</v>
      </c>
      <c r="E1183" s="7"/>
      <c r="F1183" s="17">
        <v>7</v>
      </c>
      <c r="G1183" s="17">
        <v>3</v>
      </c>
      <c r="H1183" s="17">
        <v>14</v>
      </c>
      <c r="I1183" s="16">
        <f>H1183/(F1183-G1183)</f>
        <v>3.5</v>
      </c>
      <c r="J1183" s="17">
        <v>6</v>
      </c>
      <c r="K1183" s="25">
        <v>120</v>
      </c>
      <c r="L1183" s="25">
        <v>24</v>
      </c>
      <c r="M1183" s="25">
        <v>401</v>
      </c>
      <c r="N1183" s="24">
        <f>M1183/L1183</f>
        <v>16.708333333333332</v>
      </c>
      <c r="O1183" s="23"/>
    </row>
    <row r="1184" spans="1:15" s="54" customFormat="1" x14ac:dyDescent="0.2">
      <c r="A1184" s="4"/>
      <c r="B1184" s="2" t="s">
        <v>1133</v>
      </c>
      <c r="C1184" s="2" t="s">
        <v>13</v>
      </c>
      <c r="D1184" s="7">
        <v>2</v>
      </c>
      <c r="E1184" s="7"/>
      <c r="F1184" s="17">
        <v>4</v>
      </c>
      <c r="G1184" s="17"/>
      <c r="H1184" s="17">
        <v>30</v>
      </c>
      <c r="I1184" s="16">
        <f>H1184/(F1184-G1184)</f>
        <v>7.5</v>
      </c>
      <c r="J1184" s="17">
        <v>23</v>
      </c>
      <c r="K1184" s="25">
        <v>16</v>
      </c>
      <c r="L1184" s="25">
        <v>3</v>
      </c>
      <c r="M1184" s="25">
        <v>52</v>
      </c>
      <c r="N1184" s="24">
        <f>M1184/L1184</f>
        <v>17.333333333333332</v>
      </c>
      <c r="O1184" s="23"/>
    </row>
    <row r="1185" spans="1:15" s="54" customFormat="1" x14ac:dyDescent="0.2">
      <c r="A1185" s="84">
        <v>1600188</v>
      </c>
      <c r="B1185" s="2" t="s">
        <v>2194</v>
      </c>
      <c r="C1185" s="2" t="s">
        <v>1951</v>
      </c>
      <c r="D1185" s="7">
        <f>0+2+1</f>
        <v>3</v>
      </c>
      <c r="E1185" s="7">
        <v>0</v>
      </c>
      <c r="F1185" s="17">
        <f>5+6+6</f>
        <v>17</v>
      </c>
      <c r="G1185" s="17">
        <f>3+2+2</f>
        <v>7</v>
      </c>
      <c r="H1185" s="17">
        <f>22+49+19</f>
        <v>90</v>
      </c>
      <c r="I1185" s="16">
        <f>H1185/(F1185-G1185)</f>
        <v>9</v>
      </c>
      <c r="J1185" s="17" t="s">
        <v>364</v>
      </c>
      <c r="K1185" s="25">
        <f>48.1+74.2+51.3</f>
        <v>173.60000000000002</v>
      </c>
      <c r="L1185" s="25">
        <f>9+15+10</f>
        <v>34</v>
      </c>
      <c r="M1185" s="25">
        <f>165+262+155</f>
        <v>582</v>
      </c>
      <c r="N1185" s="24">
        <f>M1185/L1185</f>
        <v>17.117647058823529</v>
      </c>
      <c r="O1185" s="49" t="s">
        <v>2025</v>
      </c>
    </row>
    <row r="1186" spans="1:15" s="54" customFormat="1" x14ac:dyDescent="0.2">
      <c r="A1186" s="84">
        <v>1862984</v>
      </c>
      <c r="B1186" s="2" t="s">
        <v>1948</v>
      </c>
      <c r="C1186" s="2" t="s">
        <v>1949</v>
      </c>
      <c r="D1186" s="7">
        <f>1</f>
        <v>1</v>
      </c>
      <c r="E1186" s="7">
        <f>0</f>
        <v>0</v>
      </c>
      <c r="F1186" s="17">
        <f>2</f>
        <v>2</v>
      </c>
      <c r="G1186" s="17">
        <f>1</f>
        <v>1</v>
      </c>
      <c r="H1186" s="17">
        <f>13</f>
        <v>13</v>
      </c>
      <c r="I1186" s="16">
        <f>H1186/(F1186-G1186)</f>
        <v>13</v>
      </c>
      <c r="J1186" s="17" t="s">
        <v>366</v>
      </c>
      <c r="K1186" s="25"/>
      <c r="L1186" s="25"/>
      <c r="M1186" s="25"/>
      <c r="N1186" s="24" t="e">
        <f>M1186/L1186</f>
        <v>#DIV/0!</v>
      </c>
      <c r="O1186" s="23"/>
    </row>
    <row r="1187" spans="1:15" s="54" customFormat="1" x14ac:dyDescent="0.2">
      <c r="A1187" s="4">
        <v>2149106</v>
      </c>
      <c r="B1187" s="2" t="s">
        <v>2388</v>
      </c>
      <c r="C1187" s="2" t="s">
        <v>2389</v>
      </c>
      <c r="D1187" s="7">
        <f>1</f>
        <v>1</v>
      </c>
      <c r="E1187" s="7">
        <f>0</f>
        <v>0</v>
      </c>
      <c r="F1187" s="17">
        <f>4</f>
        <v>4</v>
      </c>
      <c r="G1187" s="17">
        <f>0</f>
        <v>0</v>
      </c>
      <c r="H1187" s="17">
        <f>53</f>
        <v>53</v>
      </c>
      <c r="I1187" s="16">
        <f>H1187/(F1187-G1187)</f>
        <v>13.25</v>
      </c>
      <c r="J1187" s="17">
        <v>35</v>
      </c>
      <c r="K1187" s="25">
        <f>12</f>
        <v>12</v>
      </c>
      <c r="L1187" s="25">
        <f>7</f>
        <v>7</v>
      </c>
      <c r="M1187" s="25">
        <f>43</f>
        <v>43</v>
      </c>
      <c r="N1187" s="24">
        <f>M1187/L1187</f>
        <v>6.1428571428571432</v>
      </c>
      <c r="O1187" s="49" t="s">
        <v>2467</v>
      </c>
    </row>
    <row r="1188" spans="1:15" s="54" customFormat="1" x14ac:dyDescent="0.2">
      <c r="A1188" s="84">
        <v>1637319</v>
      </c>
      <c r="B1188" s="2" t="s">
        <v>1739</v>
      </c>
      <c r="C1188" s="2" t="s">
        <v>1740</v>
      </c>
      <c r="D1188" s="7">
        <f>6+1</f>
        <v>7</v>
      </c>
      <c r="E1188" s="7">
        <f>0+0</f>
        <v>0</v>
      </c>
      <c r="F1188" s="17">
        <f>7+4</f>
        <v>11</v>
      </c>
      <c r="G1188" s="17">
        <f>3+1</f>
        <v>4</v>
      </c>
      <c r="H1188" s="17">
        <f>27+33</f>
        <v>60</v>
      </c>
      <c r="I1188" s="16">
        <f>H1188/(F1188-G1188)</f>
        <v>8.5714285714285712</v>
      </c>
      <c r="J1188" s="17">
        <v>17</v>
      </c>
      <c r="K1188" s="25">
        <f>38+5</f>
        <v>43</v>
      </c>
      <c r="L1188" s="25">
        <f>7+1</f>
        <v>8</v>
      </c>
      <c r="M1188" s="25">
        <f>109+17</f>
        <v>126</v>
      </c>
      <c r="N1188" s="24">
        <f>M1188/L1188</f>
        <v>15.75</v>
      </c>
      <c r="O1188" s="49" t="s">
        <v>1799</v>
      </c>
    </row>
    <row r="1189" spans="1:15" s="54" customFormat="1" x14ac:dyDescent="0.2">
      <c r="A1189" s="64">
        <v>1759040</v>
      </c>
      <c r="B1189" s="58" t="s">
        <v>1950</v>
      </c>
      <c r="C1189" s="58" t="s">
        <v>1951</v>
      </c>
      <c r="D1189" s="59">
        <f>3+0+12+2+13</f>
        <v>30</v>
      </c>
      <c r="E1189" s="59">
        <f>0+0</f>
        <v>0</v>
      </c>
      <c r="F1189" s="60">
        <f>10+6+11+7+5</f>
        <v>39</v>
      </c>
      <c r="G1189" s="60">
        <f>3+0+1+1+1</f>
        <v>6</v>
      </c>
      <c r="H1189" s="60">
        <f>162+21+107+84+61</f>
        <v>435</v>
      </c>
      <c r="I1189" s="61">
        <f>H1189/(F1189-G1189)</f>
        <v>13.181818181818182</v>
      </c>
      <c r="J1189" s="60" t="s">
        <v>320</v>
      </c>
      <c r="K1189" s="62">
        <f>20+11.3+9+12.2</f>
        <v>52.5</v>
      </c>
      <c r="L1189" s="62">
        <f>4+3+1+2</f>
        <v>10</v>
      </c>
      <c r="M1189" s="62">
        <f>112+27+33+84</f>
        <v>256</v>
      </c>
      <c r="N1189" s="63">
        <f>M1189/L1189</f>
        <v>25.6</v>
      </c>
      <c r="O1189" s="66" t="s">
        <v>1362</v>
      </c>
    </row>
    <row r="1190" spans="1:15" s="54" customFormat="1" x14ac:dyDescent="0.2">
      <c r="A1190" s="84">
        <v>1424424</v>
      </c>
      <c r="B1190" s="2" t="s">
        <v>2195</v>
      </c>
      <c r="C1190" s="2" t="s">
        <v>2196</v>
      </c>
      <c r="D1190" s="7">
        <f>0</f>
        <v>0</v>
      </c>
      <c r="E1190" s="7"/>
      <c r="F1190" s="17">
        <f>1</f>
        <v>1</v>
      </c>
      <c r="G1190" s="17">
        <f>0</f>
        <v>0</v>
      </c>
      <c r="H1190" s="17">
        <f>11</f>
        <v>11</v>
      </c>
      <c r="I1190" s="16">
        <f>H1190/(F1190-G1190)</f>
        <v>11</v>
      </c>
      <c r="J1190" s="17">
        <v>11</v>
      </c>
      <c r="K1190" s="25">
        <f>1</f>
        <v>1</v>
      </c>
      <c r="L1190" s="25">
        <f>0</f>
        <v>0</v>
      </c>
      <c r="M1190" s="25">
        <f>8</f>
        <v>8</v>
      </c>
      <c r="N1190" s="24" t="e">
        <f>M1190/L1190</f>
        <v>#DIV/0!</v>
      </c>
      <c r="O1190" s="49" t="s">
        <v>1634</v>
      </c>
    </row>
    <row r="1191" spans="1:15" s="54" customFormat="1" x14ac:dyDescent="0.2">
      <c r="A1191" s="4"/>
      <c r="B1191" s="2" t="s">
        <v>1134</v>
      </c>
      <c r="C1191" s="2" t="s">
        <v>44</v>
      </c>
      <c r="D1191" s="7">
        <f>1+1</f>
        <v>2</v>
      </c>
      <c r="E1191" s="7"/>
      <c r="F1191" s="17">
        <f>12+2+13</f>
        <v>27</v>
      </c>
      <c r="G1191" s="17">
        <f>5+1+2</f>
        <v>8</v>
      </c>
      <c r="H1191" s="17">
        <f>107+3+73</f>
        <v>183</v>
      </c>
      <c r="I1191" s="16">
        <f>H1191/(F1191-G1191)</f>
        <v>9.6315789473684212</v>
      </c>
      <c r="J1191" s="17" t="s">
        <v>446</v>
      </c>
      <c r="K1191" s="25">
        <f>64+8+55</f>
        <v>127</v>
      </c>
      <c r="L1191" s="25">
        <f>10+7</f>
        <v>17</v>
      </c>
      <c r="M1191" s="25">
        <f>148+117</f>
        <v>265</v>
      </c>
      <c r="N1191" s="24">
        <f>M1191/L1191</f>
        <v>15.588235294117647</v>
      </c>
      <c r="O1191" s="23"/>
    </row>
    <row r="1192" spans="1:15" s="54" customFormat="1" x14ac:dyDescent="0.2">
      <c r="A1192" s="4"/>
      <c r="B1192" s="2" t="s">
        <v>1135</v>
      </c>
      <c r="C1192" s="2" t="s">
        <v>45</v>
      </c>
      <c r="D1192" s="7">
        <f>2</f>
        <v>2</v>
      </c>
      <c r="E1192" s="7"/>
      <c r="F1192" s="17">
        <f>9+2</f>
        <v>11</v>
      </c>
      <c r="G1192" s="17">
        <f>5</f>
        <v>5</v>
      </c>
      <c r="H1192" s="17">
        <f>16+1</f>
        <v>17</v>
      </c>
      <c r="I1192" s="16">
        <f>H1192/(F1192-G1192)</f>
        <v>2.8333333333333335</v>
      </c>
      <c r="J1192" s="17">
        <v>5</v>
      </c>
      <c r="K1192" s="25">
        <f>6</f>
        <v>6</v>
      </c>
      <c r="L1192" s="25">
        <f>2</f>
        <v>2</v>
      </c>
      <c r="M1192" s="25">
        <f>17</f>
        <v>17</v>
      </c>
      <c r="N1192" s="24">
        <f>M1192/L1192</f>
        <v>8.5</v>
      </c>
      <c r="O1192" s="23"/>
    </row>
    <row r="1193" spans="1:15" s="54" customFormat="1" x14ac:dyDescent="0.2">
      <c r="A1193" s="57"/>
      <c r="B1193" s="69" t="s">
        <v>2703</v>
      </c>
      <c r="C1193" s="58" t="s">
        <v>2704</v>
      </c>
      <c r="D1193" s="59">
        <v>0</v>
      </c>
      <c r="E1193" s="59"/>
      <c r="F1193" s="60">
        <v>12</v>
      </c>
      <c r="G1193" s="60">
        <v>1</v>
      </c>
      <c r="H1193" s="60">
        <v>151</v>
      </c>
      <c r="I1193" s="61">
        <f>H1193/(F1193-G1193)</f>
        <v>13.727272727272727</v>
      </c>
      <c r="J1193" s="60">
        <v>39</v>
      </c>
      <c r="K1193" s="62">
        <f>70.2</f>
        <v>70.2</v>
      </c>
      <c r="L1193" s="62">
        <f>11</f>
        <v>11</v>
      </c>
      <c r="M1193" s="62">
        <f>238</f>
        <v>238</v>
      </c>
      <c r="N1193" s="63">
        <f>M1193/L1193</f>
        <v>21.636363636363637</v>
      </c>
      <c r="O1193" s="66" t="s">
        <v>2500</v>
      </c>
    </row>
    <row r="1194" spans="1:15" s="54" customFormat="1" x14ac:dyDescent="0.2">
      <c r="A1194" s="84">
        <v>1591709</v>
      </c>
      <c r="B1194" s="86" t="s">
        <v>1580</v>
      </c>
      <c r="C1194" s="2" t="s">
        <v>151</v>
      </c>
      <c r="D1194" s="7">
        <f>0+0+5+1+1</f>
        <v>7</v>
      </c>
      <c r="E1194" s="7">
        <f>0+0+0+0</f>
        <v>0</v>
      </c>
      <c r="F1194" s="17">
        <f>1+14+10+14+4</f>
        <v>43</v>
      </c>
      <c r="G1194" s="17">
        <f>0+5+2+1+1</f>
        <v>9</v>
      </c>
      <c r="H1194" s="17">
        <f>26+422+168+129+18</f>
        <v>763</v>
      </c>
      <c r="I1194" s="16">
        <f>H1194/(F1194-G1194)</f>
        <v>22.441176470588236</v>
      </c>
      <c r="J1194" s="17" t="s">
        <v>1782</v>
      </c>
      <c r="K1194" s="25">
        <f>19+77.1+141.3+52+31.2+(0.4)</f>
        <v>320.99999999999994</v>
      </c>
      <c r="L1194" s="25">
        <f>2+26+34+8+6</f>
        <v>76</v>
      </c>
      <c r="M1194" s="25">
        <f>53+212+269+154+57</f>
        <v>745</v>
      </c>
      <c r="N1194" s="24">
        <f>M1194/L1194</f>
        <v>9.8026315789473681</v>
      </c>
      <c r="O1194" s="49" t="s">
        <v>2033</v>
      </c>
    </row>
    <row r="1195" spans="1:15" s="54" customFormat="1" x14ac:dyDescent="0.2">
      <c r="A1195" s="84">
        <v>1591711</v>
      </c>
      <c r="B1195" s="86" t="s">
        <v>1581</v>
      </c>
      <c r="C1195" s="2" t="s">
        <v>1582</v>
      </c>
      <c r="D1195" s="7">
        <f>2+2+10+1+16+4+2+1</f>
        <v>38</v>
      </c>
      <c r="E1195" s="7">
        <f>0+0+0</f>
        <v>0</v>
      </c>
      <c r="F1195" s="17">
        <f>2+17+14+15+6</f>
        <v>54</v>
      </c>
      <c r="G1195" s="17">
        <f>0+2+4+3+0</f>
        <v>9</v>
      </c>
      <c r="H1195" s="17">
        <f>143+976+482+425+173</f>
        <v>2199</v>
      </c>
      <c r="I1195" s="16">
        <f>H1195/(F1195-G1195)</f>
        <v>48.866666666666667</v>
      </c>
      <c r="J1195" s="17">
        <v>221</v>
      </c>
      <c r="K1195" s="25">
        <f>37+31.2+42+20.3+9</f>
        <v>139.5</v>
      </c>
      <c r="L1195" s="25">
        <f>13+4+6+3+2</f>
        <v>28</v>
      </c>
      <c r="M1195" s="25">
        <f>93+101+123+95+29</f>
        <v>441</v>
      </c>
      <c r="N1195" s="24">
        <f>M1195/L1195</f>
        <v>15.75</v>
      </c>
      <c r="O1195" s="49" t="s">
        <v>1646</v>
      </c>
    </row>
    <row r="1196" spans="1:15" s="54" customFormat="1" x14ac:dyDescent="0.2">
      <c r="A1196" s="84">
        <v>996964</v>
      </c>
      <c r="B1196" s="2" t="s">
        <v>1952</v>
      </c>
      <c r="C1196" s="2" t="s">
        <v>1953</v>
      </c>
      <c r="D1196" s="7">
        <f>0</f>
        <v>0</v>
      </c>
      <c r="E1196" s="7">
        <f>0</f>
        <v>0</v>
      </c>
      <c r="F1196" s="17">
        <f>3</f>
        <v>3</v>
      </c>
      <c r="G1196" s="17">
        <f>0</f>
        <v>0</v>
      </c>
      <c r="H1196" s="17">
        <f>15</f>
        <v>15</v>
      </c>
      <c r="I1196" s="16">
        <f>H1196/(F1196-G1196)</f>
        <v>5</v>
      </c>
      <c r="J1196" s="17">
        <v>8</v>
      </c>
      <c r="K1196" s="25">
        <f>14</f>
        <v>14</v>
      </c>
      <c r="L1196" s="25">
        <f>0</f>
        <v>0</v>
      </c>
      <c r="M1196" s="25">
        <f>80</f>
        <v>80</v>
      </c>
      <c r="N1196" s="24" t="e">
        <f>M1196/L1196</f>
        <v>#DIV/0!</v>
      </c>
      <c r="O1196" s="23"/>
    </row>
    <row r="1197" spans="1:15" s="54" customFormat="1" x14ac:dyDescent="0.2">
      <c r="A1197" s="84">
        <v>1756171</v>
      </c>
      <c r="B1197" s="2" t="s">
        <v>1954</v>
      </c>
      <c r="C1197" s="2" t="s">
        <v>1955</v>
      </c>
      <c r="D1197" s="7">
        <f>8+1</f>
        <v>9</v>
      </c>
      <c r="E1197" s="7">
        <f>0</f>
        <v>0</v>
      </c>
      <c r="F1197" s="17">
        <f>8+15</f>
        <v>23</v>
      </c>
      <c r="G1197" s="17">
        <f>2+1</f>
        <v>3</v>
      </c>
      <c r="H1197" s="17">
        <f>76+167</f>
        <v>243</v>
      </c>
      <c r="I1197" s="16">
        <f>H1197/(F1197-G1197)</f>
        <v>12.15</v>
      </c>
      <c r="J1197" s="17" t="s">
        <v>428</v>
      </c>
      <c r="K1197" s="25">
        <f>107.3+98.3+(0.4)</f>
        <v>206</v>
      </c>
      <c r="L1197" s="25">
        <f>25+15</f>
        <v>40</v>
      </c>
      <c r="M1197" s="25">
        <f>226+468</f>
        <v>694</v>
      </c>
      <c r="N1197" s="24">
        <f>M1197/L1197</f>
        <v>17.350000000000001</v>
      </c>
      <c r="O1197" s="49" t="s">
        <v>1802</v>
      </c>
    </row>
    <row r="1198" spans="1:15" s="54" customFormat="1" x14ac:dyDescent="0.2">
      <c r="A1198" s="84" t="s">
        <v>2197</v>
      </c>
      <c r="B1198" s="2" t="s">
        <v>2199</v>
      </c>
      <c r="C1198" s="2" t="s">
        <v>2198</v>
      </c>
      <c r="D1198" s="7">
        <f>1</f>
        <v>1</v>
      </c>
      <c r="E1198" s="7"/>
      <c r="F1198" s="17">
        <f>5</f>
        <v>5</v>
      </c>
      <c r="G1198" s="17">
        <f>3</f>
        <v>3</v>
      </c>
      <c r="H1198" s="17">
        <f>5</f>
        <v>5</v>
      </c>
      <c r="I1198" s="16">
        <f>H1198/(F1198-G1198)</f>
        <v>2.5</v>
      </c>
      <c r="J1198" s="17" t="s">
        <v>289</v>
      </c>
      <c r="K1198" s="25">
        <f>4</f>
        <v>4</v>
      </c>
      <c r="L1198" s="25">
        <f>0</f>
        <v>0</v>
      </c>
      <c r="M1198" s="25">
        <f>45</f>
        <v>45</v>
      </c>
      <c r="N1198" s="24" t="e">
        <f>M1198/L1198</f>
        <v>#DIV/0!</v>
      </c>
      <c r="O1198" s="49" t="s">
        <v>2281</v>
      </c>
    </row>
    <row r="1199" spans="1:15" s="54" customFormat="1" x14ac:dyDescent="0.2">
      <c r="A1199" s="84">
        <v>2272821</v>
      </c>
      <c r="B1199" s="2" t="s">
        <v>2199</v>
      </c>
      <c r="C1199" s="2" t="s">
        <v>2198</v>
      </c>
      <c r="D1199" s="7">
        <v>0</v>
      </c>
      <c r="E1199" s="7">
        <v>0</v>
      </c>
      <c r="F1199" s="17">
        <v>6</v>
      </c>
      <c r="G1199" s="17">
        <v>1</v>
      </c>
      <c r="H1199" s="17">
        <v>23</v>
      </c>
      <c r="I1199" s="16">
        <f>H1199/(F1199-G1199)</f>
        <v>4.5999999999999996</v>
      </c>
      <c r="J1199" s="17">
        <v>10</v>
      </c>
      <c r="K1199" s="25">
        <v>50</v>
      </c>
      <c r="L1199" s="25">
        <v>10</v>
      </c>
      <c r="M1199" s="25">
        <v>229</v>
      </c>
      <c r="N1199" s="24">
        <f>M1199/L1199</f>
        <v>22.9</v>
      </c>
      <c r="O1199" s="49" t="s">
        <v>2270</v>
      </c>
    </row>
    <row r="1200" spans="1:15" s="54" customFormat="1" x14ac:dyDescent="0.2">
      <c r="A1200" s="4"/>
      <c r="B1200" s="4" t="s">
        <v>1136</v>
      </c>
      <c r="C1200" s="2" t="s">
        <v>277</v>
      </c>
      <c r="D1200" s="7">
        <v>0</v>
      </c>
      <c r="E1200" s="7"/>
      <c r="F1200" s="17">
        <v>3</v>
      </c>
      <c r="G1200" s="17">
        <v>0</v>
      </c>
      <c r="H1200" s="17">
        <v>0</v>
      </c>
      <c r="I1200" s="16">
        <f>H1200/(F1200-G1200)</f>
        <v>0</v>
      </c>
      <c r="J1200" s="17">
        <v>0</v>
      </c>
      <c r="K1200" s="25">
        <v>0</v>
      </c>
      <c r="L1200" s="25">
        <v>0</v>
      </c>
      <c r="M1200" s="25">
        <v>0</v>
      </c>
      <c r="N1200" s="24" t="e">
        <f>M1200/L1200</f>
        <v>#DIV/0!</v>
      </c>
      <c r="O1200" s="23"/>
    </row>
    <row r="1201" spans="1:15" s="54" customFormat="1" x14ac:dyDescent="0.2">
      <c r="A1201" s="4"/>
      <c r="B1201" s="2" t="s">
        <v>1137</v>
      </c>
      <c r="C1201" s="2" t="s">
        <v>182</v>
      </c>
      <c r="D1201" s="7">
        <v>2</v>
      </c>
      <c r="E1201" s="7"/>
      <c r="F1201" s="17">
        <f>3+4</f>
        <v>7</v>
      </c>
      <c r="G1201" s="17">
        <v>1</v>
      </c>
      <c r="H1201" s="17">
        <v>1</v>
      </c>
      <c r="I1201" s="16">
        <f>H1201/(F1201-G1201)</f>
        <v>0.16666666666666666</v>
      </c>
      <c r="J1201" s="17">
        <f>1+5</f>
        <v>6</v>
      </c>
      <c r="K1201" s="25">
        <v>1</v>
      </c>
      <c r="L1201" s="25">
        <v>0</v>
      </c>
      <c r="M1201" s="25">
        <v>11</v>
      </c>
      <c r="N1201" s="24" t="e">
        <f>M1201/L1201</f>
        <v>#DIV/0!</v>
      </c>
      <c r="O1201" s="23"/>
    </row>
    <row r="1202" spans="1:15" s="54" customFormat="1" x14ac:dyDescent="0.2">
      <c r="A1202" s="4">
        <v>1663384</v>
      </c>
      <c r="B1202" s="2" t="s">
        <v>2580</v>
      </c>
      <c r="C1202" s="2" t="s">
        <v>1660</v>
      </c>
      <c r="D1202" s="7">
        <v>0</v>
      </c>
      <c r="E1202" s="7">
        <v>0</v>
      </c>
      <c r="F1202" s="17">
        <v>1</v>
      </c>
      <c r="G1202" s="17">
        <v>1</v>
      </c>
      <c r="H1202" s="17">
        <v>0</v>
      </c>
      <c r="I1202" s="16" t="e">
        <f>H1202/(F1202-G1202)</f>
        <v>#DIV/0!</v>
      </c>
      <c r="J1202" s="17">
        <v>0</v>
      </c>
      <c r="K1202" s="25">
        <v>4</v>
      </c>
      <c r="L1202" s="25">
        <v>1</v>
      </c>
      <c r="M1202" s="25">
        <v>7</v>
      </c>
      <c r="N1202" s="24">
        <f>M1202/L1202</f>
        <v>7</v>
      </c>
      <c r="O1202" s="49" t="s">
        <v>1812</v>
      </c>
    </row>
    <row r="1203" spans="1:15" s="54" customFormat="1" x14ac:dyDescent="0.2">
      <c r="A1203" s="64"/>
      <c r="B1203" s="80" t="s">
        <v>2761</v>
      </c>
      <c r="C1203" s="58" t="s">
        <v>2762</v>
      </c>
      <c r="D1203" s="59">
        <v>0</v>
      </c>
      <c r="E1203" s="59"/>
      <c r="F1203" s="60">
        <v>9</v>
      </c>
      <c r="G1203" s="60">
        <v>1</v>
      </c>
      <c r="H1203" s="60">
        <v>114</v>
      </c>
      <c r="I1203" s="61">
        <f>H1203/(F1203-G1203)</f>
        <v>14.25</v>
      </c>
      <c r="J1203" s="60">
        <v>57</v>
      </c>
      <c r="K1203" s="62">
        <v>35</v>
      </c>
      <c r="L1203" s="62">
        <v>5</v>
      </c>
      <c r="M1203" s="62">
        <v>161</v>
      </c>
      <c r="N1203" s="63">
        <f>M1203/L1203</f>
        <v>32.200000000000003</v>
      </c>
      <c r="O1203" s="66" t="s">
        <v>1467</v>
      </c>
    </row>
    <row r="1204" spans="1:15" s="54" customFormat="1" x14ac:dyDescent="0.2">
      <c r="A1204" s="4">
        <v>756402</v>
      </c>
      <c r="B1204" s="2" t="s">
        <v>1345</v>
      </c>
      <c r="C1204" s="2"/>
      <c r="D1204" s="7">
        <f>0</f>
        <v>0</v>
      </c>
      <c r="E1204" s="7">
        <f>0</f>
        <v>0</v>
      </c>
      <c r="F1204" s="17">
        <f>6</f>
        <v>6</v>
      </c>
      <c r="G1204" s="17">
        <f>1</f>
        <v>1</v>
      </c>
      <c r="H1204" s="17">
        <f>49</f>
        <v>49</v>
      </c>
      <c r="I1204" s="16">
        <f>H1204/(F1204-G1204)</f>
        <v>9.8000000000000007</v>
      </c>
      <c r="J1204" s="17">
        <v>17</v>
      </c>
      <c r="K1204" s="25">
        <f>5</f>
        <v>5</v>
      </c>
      <c r="L1204" s="25">
        <f>1</f>
        <v>1</v>
      </c>
      <c r="M1204" s="25">
        <f>30</f>
        <v>30</v>
      </c>
      <c r="N1204" s="24">
        <f>M1204/L1204</f>
        <v>30</v>
      </c>
      <c r="O1204" s="49" t="s">
        <v>1365</v>
      </c>
    </row>
    <row r="1205" spans="1:15" s="54" customFormat="1" x14ac:dyDescent="0.2">
      <c r="A1205" s="4"/>
      <c r="B1205" s="2" t="s">
        <v>1138</v>
      </c>
      <c r="C1205" s="2" t="s">
        <v>43</v>
      </c>
      <c r="D1205" s="7">
        <f>11+13</f>
        <v>24</v>
      </c>
      <c r="E1205" s="7"/>
      <c r="F1205" s="17">
        <f>12+9+2</f>
        <v>23</v>
      </c>
      <c r="G1205" s="17">
        <f>6+1</f>
        <v>7</v>
      </c>
      <c r="H1205" s="17">
        <f>98+114+21</f>
        <v>233</v>
      </c>
      <c r="I1205" s="16">
        <f>H1205/(F1205-G1205)</f>
        <v>14.5625</v>
      </c>
      <c r="J1205" s="17">
        <v>31</v>
      </c>
      <c r="K1205" s="25">
        <f>17+14+10</f>
        <v>41</v>
      </c>
      <c r="L1205" s="25">
        <f>3+1+2</f>
        <v>6</v>
      </c>
      <c r="M1205" s="25">
        <f>40+79+30</f>
        <v>149</v>
      </c>
      <c r="N1205" s="24">
        <f>M1205/L1205</f>
        <v>24.833333333333332</v>
      </c>
      <c r="O1205" s="23"/>
    </row>
    <row r="1206" spans="1:15" s="54" customFormat="1" x14ac:dyDescent="0.2">
      <c r="A1206" s="84">
        <v>1012575</v>
      </c>
      <c r="B1206" s="2" t="s">
        <v>2200</v>
      </c>
      <c r="C1206" s="2" t="s">
        <v>2201</v>
      </c>
      <c r="D1206" s="7">
        <f>0</f>
        <v>0</v>
      </c>
      <c r="E1206" s="7"/>
      <c r="F1206" s="17">
        <f>3</f>
        <v>3</v>
      </c>
      <c r="G1206" s="17">
        <f>0</f>
        <v>0</v>
      </c>
      <c r="H1206" s="17">
        <f>17</f>
        <v>17</v>
      </c>
      <c r="I1206" s="16">
        <f>H1206/(F1206-G1206)</f>
        <v>5.666666666666667</v>
      </c>
      <c r="J1206" s="17">
        <v>11</v>
      </c>
      <c r="K1206" s="25">
        <f>18</f>
        <v>18</v>
      </c>
      <c r="L1206" s="25">
        <f>2</f>
        <v>2</v>
      </c>
      <c r="M1206" s="25">
        <f>94</f>
        <v>94</v>
      </c>
      <c r="N1206" s="24">
        <f>M1206/L1206</f>
        <v>47</v>
      </c>
      <c r="O1206" s="49" t="s">
        <v>2282</v>
      </c>
    </row>
    <row r="1207" spans="1:15" s="54" customFormat="1" x14ac:dyDescent="0.2">
      <c r="A1207" s="4"/>
      <c r="B1207" s="4" t="s">
        <v>1139</v>
      </c>
      <c r="C1207" s="2" t="s">
        <v>89</v>
      </c>
      <c r="D1207" s="7">
        <f>1</f>
        <v>1</v>
      </c>
      <c r="E1207" s="7"/>
      <c r="F1207" s="17">
        <f>9</f>
        <v>9</v>
      </c>
      <c r="G1207" s="17">
        <f>1</f>
        <v>1</v>
      </c>
      <c r="H1207" s="17">
        <v>45</v>
      </c>
      <c r="I1207" s="16">
        <f>H1207/(F1207-G1207)</f>
        <v>5.625</v>
      </c>
      <c r="J1207" s="17">
        <v>17</v>
      </c>
      <c r="K1207" s="25">
        <f>5</f>
        <v>5</v>
      </c>
      <c r="L1207" s="25">
        <f>0</f>
        <v>0</v>
      </c>
      <c r="M1207" s="25">
        <f>31</f>
        <v>31</v>
      </c>
      <c r="N1207" s="24" t="e">
        <f>M1207/L1207</f>
        <v>#DIV/0!</v>
      </c>
      <c r="O1207" s="23"/>
    </row>
    <row r="1208" spans="1:15" s="54" customFormat="1" x14ac:dyDescent="0.2">
      <c r="A1208" s="84">
        <v>1887750</v>
      </c>
      <c r="B1208" s="2" t="s">
        <v>2202</v>
      </c>
      <c r="C1208" s="2" t="s">
        <v>2390</v>
      </c>
      <c r="D1208" s="7">
        <f>0+0+2</f>
        <v>2</v>
      </c>
      <c r="E1208" s="7">
        <f>0+0</f>
        <v>0</v>
      </c>
      <c r="F1208" s="17">
        <f>8+12+11</f>
        <v>31</v>
      </c>
      <c r="G1208" s="17">
        <f>7+3+2</f>
        <v>12</v>
      </c>
      <c r="H1208" s="17">
        <f>81+88+91</f>
        <v>260</v>
      </c>
      <c r="I1208" s="16">
        <f>H1208/(F1208-G1208)</f>
        <v>13.684210526315789</v>
      </c>
      <c r="J1208" s="17">
        <v>31</v>
      </c>
      <c r="K1208" s="25">
        <f>31+38.2+30</f>
        <v>99.2</v>
      </c>
      <c r="L1208" s="25">
        <f>9+7+5</f>
        <v>21</v>
      </c>
      <c r="M1208" s="25">
        <f>97+157+76</f>
        <v>330</v>
      </c>
      <c r="N1208" s="24">
        <f>M1208/L1208</f>
        <v>15.714285714285714</v>
      </c>
      <c r="O1208" s="49" t="s">
        <v>2468</v>
      </c>
    </row>
    <row r="1209" spans="1:15" s="54" customFormat="1" x14ac:dyDescent="0.2">
      <c r="A1209" s="84">
        <v>1242871</v>
      </c>
      <c r="B1209" s="2" t="s">
        <v>2592</v>
      </c>
      <c r="C1209" s="2" t="s">
        <v>2593</v>
      </c>
      <c r="D1209" s="7">
        <v>0</v>
      </c>
      <c r="E1209" s="7">
        <v>0</v>
      </c>
      <c r="F1209" s="17">
        <v>11</v>
      </c>
      <c r="G1209" s="17">
        <v>3</v>
      </c>
      <c r="H1209" s="17">
        <v>214</v>
      </c>
      <c r="I1209" s="16">
        <f>H1209/(F1209-G1209)</f>
        <v>26.75</v>
      </c>
      <c r="J1209" s="17">
        <v>64</v>
      </c>
      <c r="K1209" s="25">
        <v>31</v>
      </c>
      <c r="L1209" s="25">
        <v>13</v>
      </c>
      <c r="M1209" s="25">
        <v>106</v>
      </c>
      <c r="N1209" s="24">
        <f>M1209/L1209</f>
        <v>8.1538461538461533</v>
      </c>
      <c r="O1209" s="49" t="s">
        <v>2594</v>
      </c>
    </row>
    <row r="1210" spans="1:15" s="54" customFormat="1" x14ac:dyDescent="0.2">
      <c r="A1210" s="4">
        <v>2101330</v>
      </c>
      <c r="B1210" s="2" t="s">
        <v>2391</v>
      </c>
      <c r="C1210" s="2" t="s">
        <v>1496</v>
      </c>
      <c r="D1210" s="7">
        <f>0</f>
        <v>0</v>
      </c>
      <c r="E1210" s="7">
        <f>0</f>
        <v>0</v>
      </c>
      <c r="F1210" s="17">
        <f>3</f>
        <v>3</v>
      </c>
      <c r="G1210" s="17">
        <f>2</f>
        <v>2</v>
      </c>
      <c r="H1210" s="17">
        <f>1</f>
        <v>1</v>
      </c>
      <c r="I1210" s="16">
        <f>H1210/(F1210-G1210)</f>
        <v>1</v>
      </c>
      <c r="J1210" s="17" t="s">
        <v>276</v>
      </c>
      <c r="K1210" s="25">
        <f>3</f>
        <v>3</v>
      </c>
      <c r="L1210" s="25">
        <f>0</f>
        <v>0</v>
      </c>
      <c r="M1210" s="25">
        <f>8</f>
        <v>8</v>
      </c>
      <c r="N1210" s="24" t="e">
        <f>M1210/L1210</f>
        <v>#DIV/0!</v>
      </c>
      <c r="O1210" s="23"/>
    </row>
    <row r="1211" spans="1:15" s="54" customFormat="1" x14ac:dyDescent="0.2">
      <c r="A1211" s="64">
        <v>1565096</v>
      </c>
      <c r="B1211" s="80" t="s">
        <v>2013</v>
      </c>
      <c r="C1211" s="58" t="s">
        <v>2014</v>
      </c>
      <c r="D1211" s="59">
        <f>3+0+5+5+13+4+12</f>
        <v>42</v>
      </c>
      <c r="E1211" s="59">
        <f>0+0+0+0</f>
        <v>0</v>
      </c>
      <c r="F1211" s="60">
        <f>7+3+9+10+13+11+14</f>
        <v>67</v>
      </c>
      <c r="G1211" s="60">
        <f>0+1+3+1+1+0+3</f>
        <v>9</v>
      </c>
      <c r="H1211" s="60">
        <f>110+54+86+148+286+148+402</f>
        <v>1234</v>
      </c>
      <c r="I1211" s="61">
        <f>H1211/(F1211-G1211)</f>
        <v>21.275862068965516</v>
      </c>
      <c r="J1211" s="60">
        <v>79</v>
      </c>
      <c r="K1211" s="62">
        <f>47.3+7.3+(0.4)+64.5+14+3+16.3+10</f>
        <v>162.80000000000001</v>
      </c>
      <c r="L1211" s="62">
        <f>10+6+9+3+0+4+2</f>
        <v>34</v>
      </c>
      <c r="M1211" s="62">
        <f>175+16+244+72+15+60+33</f>
        <v>615</v>
      </c>
      <c r="N1211" s="63">
        <f>M1211/L1211</f>
        <v>18.088235294117649</v>
      </c>
      <c r="O1211" s="66" t="s">
        <v>1793</v>
      </c>
    </row>
    <row r="1212" spans="1:15" s="54" customFormat="1" x14ac:dyDescent="0.2">
      <c r="A1212" s="84">
        <v>967975</v>
      </c>
      <c r="B1212" s="2" t="s">
        <v>2203</v>
      </c>
      <c r="C1212" s="2" t="s">
        <v>1989</v>
      </c>
      <c r="D1212" s="7">
        <f>0+0</f>
        <v>0</v>
      </c>
      <c r="E1212" s="7">
        <f>0</f>
        <v>0</v>
      </c>
      <c r="F1212" s="17">
        <f>7+5</f>
        <v>12</v>
      </c>
      <c r="G1212" s="17">
        <f>0+1</f>
        <v>1</v>
      </c>
      <c r="H1212" s="17">
        <f>31+44</f>
        <v>75</v>
      </c>
      <c r="I1212" s="16">
        <f>H1212/(F1212-G1212)</f>
        <v>6.8181818181818183</v>
      </c>
      <c r="J1212" s="17" t="s">
        <v>430</v>
      </c>
      <c r="K1212" s="25">
        <f>24+23</f>
        <v>47</v>
      </c>
      <c r="L1212" s="25">
        <f>3+8</f>
        <v>11</v>
      </c>
      <c r="M1212" s="25">
        <f>56+82</f>
        <v>138</v>
      </c>
      <c r="N1212" s="24">
        <f>M1212/L1212</f>
        <v>12.545454545454545</v>
      </c>
      <c r="O1212" s="49" t="s">
        <v>1353</v>
      </c>
    </row>
    <row r="1213" spans="1:15" s="54" customFormat="1" x14ac:dyDescent="0.2">
      <c r="A1213" s="4"/>
      <c r="B1213" s="4" t="s">
        <v>1140</v>
      </c>
      <c r="C1213" s="2" t="s">
        <v>325</v>
      </c>
      <c r="D1213" s="7">
        <f>0</f>
        <v>0</v>
      </c>
      <c r="E1213" s="7"/>
      <c r="F1213" s="17">
        <f>3</f>
        <v>3</v>
      </c>
      <c r="G1213" s="17">
        <f>0</f>
        <v>0</v>
      </c>
      <c r="H1213" s="17">
        <f>16</f>
        <v>16</v>
      </c>
      <c r="I1213" s="16">
        <f>H1213/(F1213-G1213)</f>
        <v>5.333333333333333</v>
      </c>
      <c r="J1213" s="17">
        <v>11</v>
      </c>
      <c r="K1213" s="25">
        <f>20</f>
        <v>20</v>
      </c>
      <c r="L1213" s="25">
        <f>1</f>
        <v>1</v>
      </c>
      <c r="M1213" s="25">
        <f>99</f>
        <v>99</v>
      </c>
      <c r="N1213" s="24">
        <f>M1213/L1213</f>
        <v>99</v>
      </c>
      <c r="O1213" s="23"/>
    </row>
    <row r="1214" spans="1:15" s="54" customFormat="1" x14ac:dyDescent="0.2">
      <c r="A1214" s="64"/>
      <c r="B1214" s="58" t="s">
        <v>2631</v>
      </c>
      <c r="C1214" s="58" t="s">
        <v>1748</v>
      </c>
      <c r="D1214" s="59">
        <v>0</v>
      </c>
      <c r="E1214" s="59"/>
      <c r="F1214" s="60">
        <v>0</v>
      </c>
      <c r="G1214" s="60">
        <v>0</v>
      </c>
      <c r="H1214" s="60">
        <v>0</v>
      </c>
      <c r="I1214" s="61">
        <v>0</v>
      </c>
      <c r="J1214" s="60"/>
      <c r="K1214" s="62">
        <v>10</v>
      </c>
      <c r="L1214" s="62">
        <v>2</v>
      </c>
      <c r="M1214" s="62">
        <v>56</v>
      </c>
      <c r="N1214" s="63">
        <f>M1214/L1214</f>
        <v>28</v>
      </c>
      <c r="O1214" s="89" t="s">
        <v>1799</v>
      </c>
    </row>
    <row r="1215" spans="1:15" s="54" customFormat="1" x14ac:dyDescent="0.2">
      <c r="A1215" s="4"/>
      <c r="B1215" s="4" t="s">
        <v>1141</v>
      </c>
      <c r="C1215" s="2" t="s">
        <v>243</v>
      </c>
      <c r="D1215" s="7">
        <f>0</f>
        <v>0</v>
      </c>
      <c r="E1215" s="7"/>
      <c r="F1215" s="17">
        <f>3</f>
        <v>3</v>
      </c>
      <c r="G1215" s="17">
        <f>0</f>
        <v>0</v>
      </c>
      <c r="H1215" s="17">
        <f>10</f>
        <v>10</v>
      </c>
      <c r="I1215" s="16">
        <f>H1215/(F1215-G1215)</f>
        <v>3.3333333333333335</v>
      </c>
      <c r="J1215" s="17">
        <v>5</v>
      </c>
      <c r="K1215" s="25">
        <f>18</f>
        <v>18</v>
      </c>
      <c r="L1215" s="25">
        <f>1</f>
        <v>1</v>
      </c>
      <c r="M1215" s="25">
        <f>49</f>
        <v>49</v>
      </c>
      <c r="N1215" s="24">
        <f>M1215/L1215</f>
        <v>49</v>
      </c>
      <c r="O1215" s="23"/>
    </row>
    <row r="1216" spans="1:15" s="54" customFormat="1" x14ac:dyDescent="0.2">
      <c r="A1216" s="64">
        <v>2004389</v>
      </c>
      <c r="B1216" s="58" t="s">
        <v>2204</v>
      </c>
      <c r="C1216" s="58" t="s">
        <v>2205</v>
      </c>
      <c r="D1216" s="59">
        <f>3+7+1</f>
        <v>11</v>
      </c>
      <c r="E1216" s="59">
        <f>0+0</f>
        <v>0</v>
      </c>
      <c r="F1216" s="60">
        <f>6+12+9+10</f>
        <v>37</v>
      </c>
      <c r="G1216" s="60">
        <f>0+1+1+2</f>
        <v>4</v>
      </c>
      <c r="H1216" s="60">
        <f>78+135+74+68</f>
        <v>355</v>
      </c>
      <c r="I1216" s="61">
        <f>H1216/(F1216-G1216)</f>
        <v>10.757575757575758</v>
      </c>
      <c r="J1216" s="60">
        <v>35</v>
      </c>
      <c r="K1216" s="62">
        <f>31+79+69+77</f>
        <v>256</v>
      </c>
      <c r="L1216" s="62">
        <f>5+15+15+17</f>
        <v>52</v>
      </c>
      <c r="M1216" s="62">
        <f>134+173+168+254</f>
        <v>729</v>
      </c>
      <c r="N1216" s="63">
        <f>M1216/L1216</f>
        <v>14.01923076923077</v>
      </c>
      <c r="O1216" s="66" t="s">
        <v>1802</v>
      </c>
    </row>
    <row r="1217" spans="1:15" s="54" customFormat="1" x14ac:dyDescent="0.2">
      <c r="A1217" s="64">
        <v>2014931</v>
      </c>
      <c r="B1217" s="58" t="s">
        <v>1741</v>
      </c>
      <c r="C1217" s="58" t="s">
        <v>1742</v>
      </c>
      <c r="D1217" s="59">
        <f>29+3</f>
        <v>32</v>
      </c>
      <c r="E1217" s="59">
        <f>0+0+0+0</f>
        <v>0</v>
      </c>
      <c r="F1217" s="60">
        <f>11+11+10+11+7+10</f>
        <v>60</v>
      </c>
      <c r="G1217" s="60">
        <f>2+1+4+2+2+6</f>
        <v>17</v>
      </c>
      <c r="H1217" s="60">
        <f>114+87+25+70+33+35</f>
        <v>364</v>
      </c>
      <c r="I1217" s="61">
        <f>H1217/(F1217-G1217)</f>
        <v>8.4651162790697683</v>
      </c>
      <c r="J1217" s="60">
        <v>37</v>
      </c>
      <c r="K1217" s="62">
        <f>82+7</f>
        <v>89</v>
      </c>
      <c r="L1217" s="62">
        <f>15+2</f>
        <v>17</v>
      </c>
      <c r="M1217" s="62">
        <f>380+24</f>
        <v>404</v>
      </c>
      <c r="N1217" s="63">
        <f>M1217/L1217</f>
        <v>23.764705882352942</v>
      </c>
      <c r="O1217" s="66" t="s">
        <v>1355</v>
      </c>
    </row>
    <row r="1218" spans="1:15" s="54" customFormat="1" x14ac:dyDescent="0.2">
      <c r="A1218" s="64">
        <v>773482</v>
      </c>
      <c r="B1218" s="58" t="s">
        <v>1743</v>
      </c>
      <c r="C1218" s="58" t="s">
        <v>1744</v>
      </c>
      <c r="D1218" s="59">
        <f>3+8+7+10+4+8</f>
        <v>40</v>
      </c>
      <c r="E1218" s="59">
        <f>0+0+0+0</f>
        <v>0</v>
      </c>
      <c r="F1218" s="60">
        <f>15+12+13+14+12+12</f>
        <v>78</v>
      </c>
      <c r="G1218" s="60">
        <f>0+0+0+1+3</f>
        <v>4</v>
      </c>
      <c r="H1218" s="60">
        <f>500+295+430+269+247+174</f>
        <v>1915</v>
      </c>
      <c r="I1218" s="61">
        <f>H1218/(F1218-G1218)</f>
        <v>25.878378378378379</v>
      </c>
      <c r="J1218" s="60">
        <v>161</v>
      </c>
      <c r="K1218" s="62">
        <f>142.1+94+107.2+99.4+(0.4)+76+82</f>
        <v>601.1</v>
      </c>
      <c r="L1218" s="62">
        <f>45+22+36+22+25+13</f>
        <v>163</v>
      </c>
      <c r="M1218" s="62">
        <f>378+263+354+284+220+314</f>
        <v>1813</v>
      </c>
      <c r="N1218" s="63">
        <f>M1218/L1218</f>
        <v>11.122699386503067</v>
      </c>
      <c r="O1218" s="66" t="s">
        <v>1804</v>
      </c>
    </row>
    <row r="1219" spans="1:15" s="54" customFormat="1" x14ac:dyDescent="0.2">
      <c r="A1219" s="84">
        <v>1861504</v>
      </c>
      <c r="B1219" s="2" t="s">
        <v>1956</v>
      </c>
      <c r="C1219" s="2" t="s">
        <v>1957</v>
      </c>
      <c r="D1219" s="7">
        <f>3+1</f>
        <v>4</v>
      </c>
      <c r="E1219" s="7">
        <f>0</f>
        <v>0</v>
      </c>
      <c r="F1219" s="17">
        <f>3+7</f>
        <v>10</v>
      </c>
      <c r="G1219" s="17">
        <f>1+1</f>
        <v>2</v>
      </c>
      <c r="H1219" s="17">
        <f>14+36</f>
        <v>50</v>
      </c>
      <c r="I1219" s="16">
        <f>H1219/(F1219-G1219)</f>
        <v>6.25</v>
      </c>
      <c r="J1219" s="17">
        <v>16</v>
      </c>
      <c r="K1219" s="25">
        <f>21+0.3</f>
        <v>21.3</v>
      </c>
      <c r="L1219" s="25">
        <f>1+0</f>
        <v>1</v>
      </c>
      <c r="M1219" s="25">
        <f>55+4</f>
        <v>59</v>
      </c>
      <c r="N1219" s="24">
        <f>M1219/L1219</f>
        <v>59</v>
      </c>
      <c r="O1219" s="49" t="s">
        <v>1386</v>
      </c>
    </row>
    <row r="1220" spans="1:15" s="54" customFormat="1" x14ac:dyDescent="0.2">
      <c r="A1220" s="57">
        <v>682329</v>
      </c>
      <c r="B1220" s="58" t="s">
        <v>1142</v>
      </c>
      <c r="C1220" s="58" t="s">
        <v>342</v>
      </c>
      <c r="D1220" s="59">
        <f>17+3+2+3+4+3+6+0+3+5+3+1+1</f>
        <v>51</v>
      </c>
      <c r="E1220" s="59"/>
      <c r="F1220" s="60">
        <f>31+9+2+9+14+2+17+1+12+1+1+12+2+13+12+1+11+9+11+4+8</f>
        <v>182</v>
      </c>
      <c r="G1220" s="60">
        <f>2+1+1+2+2+1+2+2+0+0+2+5+2+1+2</f>
        <v>25</v>
      </c>
      <c r="H1220" s="60">
        <f>326+194+20+78+131+27+360+3+140+3+234+2+169+168+18+74+264+177+17+241</f>
        <v>2646</v>
      </c>
      <c r="I1220" s="61">
        <f>H1220/(F1220-G1220)</f>
        <v>16.853503184713375</v>
      </c>
      <c r="J1220" s="60">
        <v>78</v>
      </c>
      <c r="K1220" s="62">
        <f>128+56+4+40+9+125+51+8+153+18+165+136+7+98+90.3+98+18+87.7</f>
        <v>1292</v>
      </c>
      <c r="L1220" s="62">
        <f>30+15+12+5+30+7+37+1+31+17+5+17+16+28+6+16</f>
        <v>273</v>
      </c>
      <c r="M1220" s="62">
        <f>392+162+43+141+49+426+157+21+438+48+554+402+18+376+326+385+73+284</f>
        <v>4295</v>
      </c>
      <c r="N1220" s="63">
        <f>M1220/L1220</f>
        <v>15.732600732600732</v>
      </c>
      <c r="O1220" s="66" t="s">
        <v>1462</v>
      </c>
    </row>
    <row r="1221" spans="1:15" s="54" customFormat="1" x14ac:dyDescent="0.2">
      <c r="A1221" s="4">
        <v>1955637</v>
      </c>
      <c r="B1221" s="2" t="s">
        <v>2392</v>
      </c>
      <c r="C1221" s="2" t="s">
        <v>2393</v>
      </c>
      <c r="D1221" s="7">
        <f>4+4</f>
        <v>8</v>
      </c>
      <c r="E1221" s="7">
        <f>0+0</f>
        <v>0</v>
      </c>
      <c r="F1221" s="17">
        <f>10+6</f>
        <v>16</v>
      </c>
      <c r="G1221" s="17">
        <f>3+3</f>
        <v>6</v>
      </c>
      <c r="H1221" s="17">
        <f>106+158</f>
        <v>264</v>
      </c>
      <c r="I1221" s="16">
        <f>H1221/(F1221-G1221)</f>
        <v>26.4</v>
      </c>
      <c r="J1221" s="17">
        <v>59</v>
      </c>
      <c r="K1221" s="25">
        <f>83+46</f>
        <v>129</v>
      </c>
      <c r="L1221" s="25">
        <f>14+6</f>
        <v>20</v>
      </c>
      <c r="M1221" s="25">
        <f>172+168</f>
        <v>340</v>
      </c>
      <c r="N1221" s="24">
        <f>M1221/L1221</f>
        <v>17</v>
      </c>
      <c r="O1221" s="49" t="s">
        <v>1462</v>
      </c>
    </row>
    <row r="1222" spans="1:15" s="54" customFormat="1" x14ac:dyDescent="0.2">
      <c r="A1222" s="4">
        <v>2149110</v>
      </c>
      <c r="B1222" s="2" t="s">
        <v>2394</v>
      </c>
      <c r="C1222" s="2" t="s">
        <v>2395</v>
      </c>
      <c r="D1222" s="7">
        <f>0</f>
        <v>0</v>
      </c>
      <c r="E1222" s="7">
        <f>0</f>
        <v>0</v>
      </c>
      <c r="F1222" s="17">
        <f>1</f>
        <v>1</v>
      </c>
      <c r="G1222" s="17">
        <f>0</f>
        <v>0</v>
      </c>
      <c r="H1222" s="17">
        <f>15</f>
        <v>15</v>
      </c>
      <c r="I1222" s="16">
        <f>H1222/(F1222-G1222)</f>
        <v>15</v>
      </c>
      <c r="J1222" s="17">
        <v>15</v>
      </c>
      <c r="K1222" s="25"/>
      <c r="L1222" s="25"/>
      <c r="M1222" s="25"/>
      <c r="N1222" s="24" t="e">
        <f>M1222/L1222</f>
        <v>#DIV/0!</v>
      </c>
      <c r="O1222" s="23"/>
    </row>
    <row r="1223" spans="1:15" s="54" customFormat="1" x14ac:dyDescent="0.2">
      <c r="A1223" s="84">
        <v>2014898</v>
      </c>
      <c r="B1223" s="2" t="s">
        <v>2206</v>
      </c>
      <c r="C1223" s="2" t="s">
        <v>2207</v>
      </c>
      <c r="D1223" s="7">
        <f>0</f>
        <v>0</v>
      </c>
      <c r="E1223" s="7"/>
      <c r="F1223" s="17">
        <f>1</f>
        <v>1</v>
      </c>
      <c r="G1223" s="17">
        <f>0</f>
        <v>0</v>
      </c>
      <c r="H1223" s="17">
        <f>0</f>
        <v>0</v>
      </c>
      <c r="I1223" s="16">
        <f>H1223/(F1223-G1223)</f>
        <v>0</v>
      </c>
      <c r="J1223" s="17">
        <v>0</v>
      </c>
      <c r="K1223" s="25"/>
      <c r="L1223" s="25"/>
      <c r="M1223" s="25"/>
      <c r="N1223" s="24" t="e">
        <f>M1223/L1223</f>
        <v>#DIV/0!</v>
      </c>
      <c r="O1223" s="23"/>
    </row>
    <row r="1224" spans="1:15" s="54" customFormat="1" x14ac:dyDescent="0.2">
      <c r="A1224" s="84">
        <v>2031000</v>
      </c>
      <c r="B1224" s="2" t="s">
        <v>2532</v>
      </c>
      <c r="C1224" s="2" t="s">
        <v>2533</v>
      </c>
      <c r="D1224" s="7">
        <v>0</v>
      </c>
      <c r="E1224" s="7">
        <v>0</v>
      </c>
      <c r="F1224" s="17">
        <v>8</v>
      </c>
      <c r="G1224" s="17">
        <v>8</v>
      </c>
      <c r="H1224" s="17">
        <v>64</v>
      </c>
      <c r="I1224" s="16" t="e">
        <f>H1224/(F1224-G1224)</f>
        <v>#DIV/0!</v>
      </c>
      <c r="J1224" s="17" t="s">
        <v>400</v>
      </c>
      <c r="K1224" s="25">
        <v>31</v>
      </c>
      <c r="L1224" s="25">
        <v>11</v>
      </c>
      <c r="M1224" s="25">
        <v>48</v>
      </c>
      <c r="N1224" s="24">
        <f>M1224/L1224</f>
        <v>4.3636363636363633</v>
      </c>
      <c r="O1224" s="49" t="s">
        <v>1807</v>
      </c>
    </row>
    <row r="1225" spans="1:15" s="54" customFormat="1" x14ac:dyDescent="0.2">
      <c r="A1225" s="57">
        <v>2075759</v>
      </c>
      <c r="B1225" s="58" t="s">
        <v>2396</v>
      </c>
      <c r="C1225" s="58" t="s">
        <v>2397</v>
      </c>
      <c r="D1225" s="59">
        <v>1</v>
      </c>
      <c r="E1225" s="59">
        <f>0+0</f>
        <v>0</v>
      </c>
      <c r="F1225" s="60">
        <f>10+9+9</f>
        <v>28</v>
      </c>
      <c r="G1225" s="60">
        <f>1+1+1</f>
        <v>3</v>
      </c>
      <c r="H1225" s="60">
        <f>205+144+77</f>
        <v>426</v>
      </c>
      <c r="I1225" s="61">
        <f>H1225/(F1225-G1225)</f>
        <v>17.04</v>
      </c>
      <c r="J1225" s="60">
        <v>66</v>
      </c>
      <c r="K1225" s="62">
        <f>39.4+37.1+65</f>
        <v>141.5</v>
      </c>
      <c r="L1225" s="62">
        <f>8+14+15</f>
        <v>37</v>
      </c>
      <c r="M1225" s="62">
        <f>173+104+193</f>
        <v>470</v>
      </c>
      <c r="N1225" s="63">
        <f>M1225/L1225</f>
        <v>12.702702702702704</v>
      </c>
      <c r="O1225" s="66" t="s">
        <v>1650</v>
      </c>
    </row>
    <row r="1226" spans="1:15" s="54" customFormat="1" x14ac:dyDescent="0.2">
      <c r="A1226" s="4"/>
      <c r="B1226" s="2" t="s">
        <v>1143</v>
      </c>
      <c r="C1226" s="2" t="s">
        <v>12</v>
      </c>
      <c r="D1226" s="7"/>
      <c r="E1226" s="7"/>
      <c r="F1226" s="17">
        <f>8+2</f>
        <v>10</v>
      </c>
      <c r="G1226" s="17">
        <f>2+1</f>
        <v>3</v>
      </c>
      <c r="H1226" s="17">
        <f>13+1</f>
        <v>14</v>
      </c>
      <c r="I1226" s="16">
        <f>H1226/(F1226-G1226)</f>
        <v>2</v>
      </c>
      <c r="J1226" s="17">
        <v>5</v>
      </c>
      <c r="K1226" s="25">
        <f>56+7</f>
        <v>63</v>
      </c>
      <c r="L1226" s="25">
        <f>23+4</f>
        <v>27</v>
      </c>
      <c r="M1226" s="25">
        <f>87+6</f>
        <v>93</v>
      </c>
      <c r="N1226" s="24">
        <f>M1226/L1226</f>
        <v>3.4444444444444446</v>
      </c>
      <c r="O1226" s="23"/>
    </row>
    <row r="1227" spans="1:15" s="54" customFormat="1" x14ac:dyDescent="0.2">
      <c r="A1227" s="4"/>
      <c r="B1227" s="2" t="s">
        <v>1144</v>
      </c>
      <c r="C1227" s="2" t="s">
        <v>19</v>
      </c>
      <c r="D1227" s="7">
        <v>39</v>
      </c>
      <c r="E1227" s="7"/>
      <c r="F1227" s="17">
        <v>102</v>
      </c>
      <c r="G1227" s="17">
        <v>6</v>
      </c>
      <c r="H1227" s="17">
        <v>1244</v>
      </c>
      <c r="I1227" s="16">
        <f>H1227/(F1227-G1227)</f>
        <v>12.958333333333334</v>
      </c>
      <c r="J1227" s="17">
        <v>69</v>
      </c>
      <c r="K1227" s="25">
        <v>475</v>
      </c>
      <c r="L1227" s="25">
        <v>71</v>
      </c>
      <c r="M1227" s="25">
        <v>1598</v>
      </c>
      <c r="N1227" s="24">
        <f>M1227/L1227</f>
        <v>22.507042253521128</v>
      </c>
      <c r="O1227" s="23"/>
    </row>
    <row r="1228" spans="1:15" s="54" customFormat="1" x14ac:dyDescent="0.2">
      <c r="A1228" s="4"/>
      <c r="B1228" s="2" t="s">
        <v>194</v>
      </c>
      <c r="C1228" s="2" t="s">
        <v>98</v>
      </c>
      <c r="D1228" s="8">
        <v>89</v>
      </c>
      <c r="E1228" s="7">
        <v>4</v>
      </c>
      <c r="F1228" s="17">
        <v>125</v>
      </c>
      <c r="G1228" s="17">
        <v>40</v>
      </c>
      <c r="H1228" s="17">
        <v>1336</v>
      </c>
      <c r="I1228" s="16">
        <f>H1228/(F1228-G1228)</f>
        <v>15.717647058823529</v>
      </c>
      <c r="J1228" s="17" t="s">
        <v>355</v>
      </c>
      <c r="K1228" s="25">
        <v>7</v>
      </c>
      <c r="L1228" s="25">
        <v>3</v>
      </c>
      <c r="M1228" s="25">
        <v>46</v>
      </c>
      <c r="N1228" s="24">
        <f>M1228/L1228</f>
        <v>15.333333333333334</v>
      </c>
      <c r="O1228" s="23"/>
    </row>
    <row r="1229" spans="1:15" s="54" customFormat="1" x14ac:dyDescent="0.2">
      <c r="A1229" s="4"/>
      <c r="B1229" s="2" t="s">
        <v>1145</v>
      </c>
      <c r="C1229" s="2" t="s">
        <v>141</v>
      </c>
      <c r="D1229" s="7">
        <v>44</v>
      </c>
      <c r="E1229" s="7"/>
      <c r="F1229" s="17">
        <v>148</v>
      </c>
      <c r="G1229" s="17">
        <v>15</v>
      </c>
      <c r="H1229" s="17">
        <v>3248</v>
      </c>
      <c r="I1229" s="16">
        <f>H1229/(F1229-G1229)</f>
        <v>24.421052631578949</v>
      </c>
      <c r="J1229" s="17">
        <v>85</v>
      </c>
      <c r="K1229" s="25"/>
      <c r="L1229" s="25"/>
      <c r="M1229" s="25"/>
      <c r="N1229" s="24" t="e">
        <f>M1229/L1229</f>
        <v>#DIV/0!</v>
      </c>
      <c r="O1229" s="23"/>
    </row>
    <row r="1230" spans="1:15" s="54" customFormat="1" x14ac:dyDescent="0.2">
      <c r="A1230" s="4"/>
      <c r="B1230" s="2" t="s">
        <v>1146</v>
      </c>
      <c r="C1230" s="2" t="s">
        <v>21</v>
      </c>
      <c r="D1230" s="7">
        <v>4</v>
      </c>
      <c r="E1230" s="7"/>
      <c r="F1230" s="17">
        <v>10</v>
      </c>
      <c r="G1230" s="17">
        <v>1</v>
      </c>
      <c r="H1230" s="17">
        <v>41</v>
      </c>
      <c r="I1230" s="16">
        <f>H1230/(F1230-G1230)</f>
        <v>4.5555555555555554</v>
      </c>
      <c r="J1230" s="17" t="s">
        <v>269</v>
      </c>
      <c r="K1230" s="25">
        <v>20</v>
      </c>
      <c r="L1230" s="25">
        <v>4</v>
      </c>
      <c r="M1230" s="25">
        <v>95</v>
      </c>
      <c r="N1230" s="24">
        <f>M1230/L1230</f>
        <v>23.75</v>
      </c>
      <c r="O1230" s="23"/>
    </row>
    <row r="1231" spans="1:15" s="54" customFormat="1" x14ac:dyDescent="0.2">
      <c r="A1231" s="4"/>
      <c r="B1231" s="4" t="s">
        <v>1147</v>
      </c>
      <c r="C1231" s="2" t="s">
        <v>343</v>
      </c>
      <c r="D1231" s="7">
        <f>4+0</f>
        <v>4</v>
      </c>
      <c r="E1231" s="7"/>
      <c r="F1231" s="17">
        <v>12</v>
      </c>
      <c r="G1231" s="17">
        <v>1</v>
      </c>
      <c r="H1231" s="17">
        <v>216</v>
      </c>
      <c r="I1231" s="16">
        <f>H1231/(F1231-G1231)</f>
        <v>19.636363636363637</v>
      </c>
      <c r="J1231" s="17">
        <v>38</v>
      </c>
      <c r="K1231" s="25">
        <f>87+4</f>
        <v>91</v>
      </c>
      <c r="L1231" s="25">
        <f>13+0</f>
        <v>13</v>
      </c>
      <c r="M1231" s="25">
        <f>269+19</f>
        <v>288</v>
      </c>
      <c r="N1231" s="24">
        <f>M1231/L1231</f>
        <v>22.153846153846153</v>
      </c>
      <c r="O1231" s="23"/>
    </row>
    <row r="1232" spans="1:15" s="54" customFormat="1" x14ac:dyDescent="0.2">
      <c r="A1232" s="4">
        <v>774641</v>
      </c>
      <c r="B1232" s="2" t="s">
        <v>1318</v>
      </c>
      <c r="C1232" s="2"/>
      <c r="D1232" s="7">
        <f>1</f>
        <v>1</v>
      </c>
      <c r="E1232" s="7">
        <f>0</f>
        <v>0</v>
      </c>
      <c r="F1232" s="17">
        <f>2</f>
        <v>2</v>
      </c>
      <c r="G1232" s="17">
        <f>1</f>
        <v>1</v>
      </c>
      <c r="H1232" s="17">
        <f>16</f>
        <v>16</v>
      </c>
      <c r="I1232" s="16">
        <f>H1232/(F1232-G1232)</f>
        <v>16</v>
      </c>
      <c r="J1232" s="17" t="s">
        <v>400</v>
      </c>
      <c r="K1232" s="25"/>
      <c r="L1232" s="25"/>
      <c r="M1232" s="25"/>
      <c r="N1232" s="24" t="e">
        <f>M1232/L1232</f>
        <v>#DIV/0!</v>
      </c>
      <c r="O1232" s="23"/>
    </row>
    <row r="1233" spans="1:15" s="54" customFormat="1" x14ac:dyDescent="0.2">
      <c r="A1233" s="4"/>
      <c r="B1233" s="4" t="s">
        <v>1148</v>
      </c>
      <c r="C1233" s="2" t="s">
        <v>210</v>
      </c>
      <c r="D1233" s="7">
        <v>1</v>
      </c>
      <c r="E1233" s="7"/>
      <c r="F1233" s="17">
        <v>17</v>
      </c>
      <c r="G1233" s="17">
        <v>1</v>
      </c>
      <c r="H1233" s="17">
        <v>336</v>
      </c>
      <c r="I1233" s="16">
        <f>H1233/(F1233-G1233)</f>
        <v>21</v>
      </c>
      <c r="J1233" s="17">
        <v>69</v>
      </c>
      <c r="K1233" s="25">
        <v>129</v>
      </c>
      <c r="L1233" s="25">
        <v>22</v>
      </c>
      <c r="M1233" s="25">
        <v>402</v>
      </c>
      <c r="N1233" s="24">
        <f>M1233/L1233</f>
        <v>18.272727272727273</v>
      </c>
      <c r="O1233" s="23"/>
    </row>
    <row r="1234" spans="1:15" s="54" customFormat="1" x14ac:dyDescent="0.2">
      <c r="A1234" s="4"/>
      <c r="B1234" s="2" t="s">
        <v>1149</v>
      </c>
      <c r="C1234" s="2" t="s">
        <v>40</v>
      </c>
      <c r="D1234" s="7">
        <f>5+0</f>
        <v>5</v>
      </c>
      <c r="E1234" s="7"/>
      <c r="F1234" s="15">
        <f>2+1+1+1+2+1+1+1+1+1+1+1+1+10+1</f>
        <v>26</v>
      </c>
      <c r="G1234" s="15">
        <f>1+3+0</f>
        <v>4</v>
      </c>
      <c r="H1234" s="15">
        <f>2+0+6+0+1+1+0+0+3+4+1+0+0+74+0</f>
        <v>92</v>
      </c>
      <c r="I1234" s="16">
        <f>H1234/(F1234-G1234)</f>
        <v>4.1818181818181817</v>
      </c>
      <c r="J1234" s="17" t="s">
        <v>447</v>
      </c>
      <c r="K1234" s="23">
        <f>3.2+4+3+2+4+2+3+4+4+2+3+29+3</f>
        <v>66.2</v>
      </c>
      <c r="L1234" s="23">
        <f>1+0+0+0+2+2+0+0+0+0+1+5+1</f>
        <v>12</v>
      </c>
      <c r="M1234" s="23">
        <f>14+26+24+15+7+5+11+4+11+15+15+82+17</f>
        <v>246</v>
      </c>
      <c r="N1234" s="24">
        <f>M1234/L1234</f>
        <v>20.5</v>
      </c>
      <c r="O1234" s="23"/>
    </row>
    <row r="1235" spans="1:15" s="54" customFormat="1" x14ac:dyDescent="0.2">
      <c r="A1235" s="4"/>
      <c r="B1235" s="2" t="s">
        <v>1150</v>
      </c>
      <c r="C1235" s="2" t="s">
        <v>184</v>
      </c>
      <c r="D1235" s="7">
        <v>4</v>
      </c>
      <c r="E1235" s="7"/>
      <c r="F1235" s="15">
        <v>9</v>
      </c>
      <c r="G1235" s="15">
        <v>3</v>
      </c>
      <c r="H1235" s="15">
        <v>37</v>
      </c>
      <c r="I1235" s="16">
        <f>H1235/(F1235-G1235)</f>
        <v>6.166666666666667</v>
      </c>
      <c r="J1235" s="17">
        <v>12</v>
      </c>
      <c r="K1235" s="23">
        <v>89</v>
      </c>
      <c r="L1235" s="23">
        <v>13</v>
      </c>
      <c r="M1235" s="23">
        <v>306</v>
      </c>
      <c r="N1235" s="24">
        <f>M1235/L1235</f>
        <v>23.53846153846154</v>
      </c>
      <c r="O1235" s="23"/>
    </row>
    <row r="1236" spans="1:15" s="54" customFormat="1" x14ac:dyDescent="0.2">
      <c r="A1236" s="57"/>
      <c r="B1236" s="58" t="s">
        <v>2739</v>
      </c>
      <c r="C1236" s="58" t="s">
        <v>2740</v>
      </c>
      <c r="D1236" s="59">
        <v>0</v>
      </c>
      <c r="E1236" s="59"/>
      <c r="F1236" s="60">
        <v>14</v>
      </c>
      <c r="G1236" s="60">
        <v>0</v>
      </c>
      <c r="H1236" s="60">
        <v>66</v>
      </c>
      <c r="I1236" s="61">
        <f>H1236/(F1236-G1236)</f>
        <v>4.7142857142857144</v>
      </c>
      <c r="J1236" s="60">
        <v>22</v>
      </c>
      <c r="K1236" s="62">
        <v>12</v>
      </c>
      <c r="L1236" s="62">
        <v>2</v>
      </c>
      <c r="M1236" s="62">
        <v>57</v>
      </c>
      <c r="N1236" s="63">
        <f>M1236/L1236</f>
        <v>28.5</v>
      </c>
      <c r="O1236" s="66" t="s">
        <v>1647</v>
      </c>
    </row>
    <row r="1237" spans="1:15" s="54" customFormat="1" x14ac:dyDescent="0.2">
      <c r="A1237" s="57"/>
      <c r="B1237" s="58" t="s">
        <v>2734</v>
      </c>
      <c r="C1237" s="58" t="s">
        <v>2735</v>
      </c>
      <c r="D1237" s="59">
        <v>0</v>
      </c>
      <c r="E1237" s="59"/>
      <c r="F1237" s="60">
        <v>14</v>
      </c>
      <c r="G1237" s="60">
        <v>7</v>
      </c>
      <c r="H1237" s="60">
        <v>239</v>
      </c>
      <c r="I1237" s="61">
        <f>H1237/(F1237-G1237)</f>
        <v>34.142857142857146</v>
      </c>
      <c r="J1237" s="60" t="s">
        <v>320</v>
      </c>
      <c r="K1237" s="62">
        <v>11</v>
      </c>
      <c r="L1237" s="62">
        <v>25</v>
      </c>
      <c r="M1237" s="62">
        <v>214</v>
      </c>
      <c r="N1237" s="63">
        <f>M1237/L1237</f>
        <v>8.56</v>
      </c>
      <c r="O1237" s="66" t="s">
        <v>2033</v>
      </c>
    </row>
    <row r="1238" spans="1:15" s="54" customFormat="1" x14ac:dyDescent="0.2">
      <c r="A1238" s="4">
        <v>709969</v>
      </c>
      <c r="B1238" s="52" t="s">
        <v>1513</v>
      </c>
      <c r="C1238" s="2" t="s">
        <v>47</v>
      </c>
      <c r="D1238" s="7">
        <f>10+3</f>
        <v>13</v>
      </c>
      <c r="E1238" s="7">
        <f>0</f>
        <v>0</v>
      </c>
      <c r="F1238" s="17">
        <f>11+12+5</f>
        <v>28</v>
      </c>
      <c r="G1238" s="17">
        <f>3+1</f>
        <v>4</v>
      </c>
      <c r="H1238" s="17">
        <f>132+99+34</f>
        <v>265</v>
      </c>
      <c r="I1238" s="16">
        <f>H1238/(F1238-G1238)</f>
        <v>11.041666666666666</v>
      </c>
      <c r="J1238" s="17">
        <v>56</v>
      </c>
      <c r="K1238" s="25">
        <f>103+108+14</f>
        <v>225</v>
      </c>
      <c r="L1238" s="25">
        <f>16+23+1</f>
        <v>40</v>
      </c>
      <c r="M1238" s="25">
        <f>405+390+53</f>
        <v>848</v>
      </c>
      <c r="N1238" s="24">
        <f>M1238/L1238</f>
        <v>21.2</v>
      </c>
      <c r="O1238" s="49" t="s">
        <v>1509</v>
      </c>
    </row>
    <row r="1239" spans="1:15" s="54" customFormat="1" x14ac:dyDescent="0.2">
      <c r="A1239" s="4">
        <v>682228</v>
      </c>
      <c r="B1239" s="2" t="s">
        <v>1151</v>
      </c>
      <c r="C1239" s="2" t="s">
        <v>48</v>
      </c>
      <c r="D1239" s="8">
        <f>47+4+2+5</f>
        <v>58</v>
      </c>
      <c r="E1239" s="7">
        <f>1+0+0</f>
        <v>1</v>
      </c>
      <c r="F1239" s="17">
        <f>11+11+13+12+14+16+11+11+10+9</f>
        <v>118</v>
      </c>
      <c r="G1239" s="17">
        <f>1+3+2+0+2+3+1+1+1+3</f>
        <v>17</v>
      </c>
      <c r="H1239" s="17">
        <f>83+35+298+195+264+331+169+75+67+78</f>
        <v>1595</v>
      </c>
      <c r="I1239" s="16">
        <f>H1239/(F1239-G1239)</f>
        <v>15.792079207920793</v>
      </c>
      <c r="J1239" s="17">
        <v>78</v>
      </c>
      <c r="K1239" s="25">
        <f>82+74+63+13+21+23+44+25+15+20</f>
        <v>380</v>
      </c>
      <c r="L1239" s="25">
        <f>14+22+8+3+8+10+11+5+2+2</f>
        <v>85</v>
      </c>
      <c r="M1239" s="25">
        <f>372+322+267+89+110+84+180+79+97+99</f>
        <v>1699</v>
      </c>
      <c r="N1239" s="24">
        <f>M1239/L1239</f>
        <v>19.988235294117647</v>
      </c>
      <c r="O1239" s="49" t="s">
        <v>1469</v>
      </c>
    </row>
    <row r="1240" spans="1:15" s="54" customFormat="1" x14ac:dyDescent="0.2">
      <c r="A1240" s="4"/>
      <c r="B1240" s="2" t="s">
        <v>1152</v>
      </c>
      <c r="C1240" s="2" t="s">
        <v>13</v>
      </c>
      <c r="D1240" s="7">
        <v>15</v>
      </c>
      <c r="E1240" s="7"/>
      <c r="F1240" s="17">
        <v>8</v>
      </c>
      <c r="G1240" s="17">
        <v>2</v>
      </c>
      <c r="H1240" s="17">
        <v>74</v>
      </c>
      <c r="I1240" s="16">
        <f>H1240/(F1240-G1240)</f>
        <v>12.333333333333334</v>
      </c>
      <c r="J1240" s="17">
        <v>35</v>
      </c>
      <c r="K1240" s="25"/>
      <c r="L1240" s="25"/>
      <c r="M1240" s="25"/>
      <c r="N1240" s="24" t="e">
        <f>M1240/L1240</f>
        <v>#DIV/0!</v>
      </c>
      <c r="O1240" s="23"/>
    </row>
    <row r="1241" spans="1:15" s="54" customFormat="1" x14ac:dyDescent="0.2">
      <c r="A1241" s="4"/>
      <c r="B1241" s="4" t="s">
        <v>1153</v>
      </c>
      <c r="C1241" s="2" t="s">
        <v>350</v>
      </c>
      <c r="D1241" s="7">
        <f>4</f>
        <v>4</v>
      </c>
      <c r="E1241" s="7"/>
      <c r="F1241" s="17">
        <f>6</f>
        <v>6</v>
      </c>
      <c r="G1241" s="17">
        <f>2</f>
        <v>2</v>
      </c>
      <c r="H1241" s="17">
        <v>19</v>
      </c>
      <c r="I1241" s="16">
        <f>H1241/(F1241-G1241)</f>
        <v>4.75</v>
      </c>
      <c r="J1241" s="17" t="s">
        <v>268</v>
      </c>
      <c r="K1241" s="25">
        <f>12</f>
        <v>12</v>
      </c>
      <c r="L1241" s="25">
        <f>1</f>
        <v>1</v>
      </c>
      <c r="M1241" s="25">
        <f>53</f>
        <v>53</v>
      </c>
      <c r="N1241" s="24">
        <f>M1241/L1241</f>
        <v>53</v>
      </c>
      <c r="O1241" s="23"/>
    </row>
    <row r="1242" spans="1:15" s="54" customFormat="1" x14ac:dyDescent="0.2">
      <c r="A1242" s="4"/>
      <c r="B1242" s="2" t="s">
        <v>1154</v>
      </c>
      <c r="C1242" s="2" t="s">
        <v>12</v>
      </c>
      <c r="D1242" s="7"/>
      <c r="E1242" s="7"/>
      <c r="F1242" s="17">
        <v>2</v>
      </c>
      <c r="G1242" s="17">
        <v>1</v>
      </c>
      <c r="H1242" s="17">
        <v>1</v>
      </c>
      <c r="I1242" s="16">
        <f>H1242/(F1242-G1242)</f>
        <v>1</v>
      </c>
      <c r="J1242" s="17">
        <v>1</v>
      </c>
      <c r="K1242" s="25">
        <v>4</v>
      </c>
      <c r="L1242" s="25">
        <v>1</v>
      </c>
      <c r="M1242" s="25">
        <v>6</v>
      </c>
      <c r="N1242" s="24">
        <f>M1242/L1242</f>
        <v>6</v>
      </c>
      <c r="O1242" s="23"/>
    </row>
    <row r="1243" spans="1:15" s="54" customFormat="1" x14ac:dyDescent="0.2">
      <c r="A1243" s="84">
        <v>1889128</v>
      </c>
      <c r="B1243" s="2" t="s">
        <v>2208</v>
      </c>
      <c r="C1243" s="2" t="s">
        <v>1748</v>
      </c>
      <c r="D1243" s="7">
        <f>0+0</f>
        <v>0</v>
      </c>
      <c r="E1243" s="7">
        <f>0</f>
        <v>0</v>
      </c>
      <c r="F1243" s="17">
        <f>6+8</f>
        <v>14</v>
      </c>
      <c r="G1243" s="17">
        <f>0+1</f>
        <v>1</v>
      </c>
      <c r="H1243" s="17">
        <f>2+14</f>
        <v>16</v>
      </c>
      <c r="I1243" s="16">
        <f>H1243/(F1243-G1243)</f>
        <v>1.2307692307692308</v>
      </c>
      <c r="J1243" s="17">
        <v>4</v>
      </c>
      <c r="K1243" s="25"/>
      <c r="L1243" s="25"/>
      <c r="M1243" s="25"/>
      <c r="N1243" s="24" t="e">
        <f>M1243/L1243</f>
        <v>#DIV/0!</v>
      </c>
      <c r="O1243" s="23"/>
    </row>
    <row r="1244" spans="1:15" s="54" customFormat="1" x14ac:dyDescent="0.2">
      <c r="A1244" s="84">
        <v>1777168</v>
      </c>
      <c r="B1244" s="2" t="s">
        <v>2209</v>
      </c>
      <c r="C1244" s="2" t="s">
        <v>1947</v>
      </c>
      <c r="D1244" s="7">
        <f>0</f>
        <v>0</v>
      </c>
      <c r="E1244" s="7"/>
      <c r="F1244" s="17"/>
      <c r="G1244" s="17"/>
      <c r="H1244" s="17"/>
      <c r="I1244" s="16" t="e">
        <f>H1244/(F1244-G1244)</f>
        <v>#DIV/0!</v>
      </c>
      <c r="J1244" s="17"/>
      <c r="K1244" s="25">
        <f>7</f>
        <v>7</v>
      </c>
      <c r="L1244" s="25">
        <f>1</f>
        <v>1</v>
      </c>
      <c r="M1244" s="25">
        <f>7</f>
        <v>7</v>
      </c>
      <c r="N1244" s="24">
        <f>M1244/L1244</f>
        <v>7</v>
      </c>
      <c r="O1244" s="49" t="s">
        <v>1812</v>
      </c>
    </row>
    <row r="1245" spans="1:15" s="54" customFormat="1" x14ac:dyDescent="0.2">
      <c r="A1245" s="4">
        <v>2065202</v>
      </c>
      <c r="B1245" s="2" t="s">
        <v>2398</v>
      </c>
      <c r="C1245" s="2" t="s">
        <v>2399</v>
      </c>
      <c r="D1245" s="7">
        <f>0</f>
        <v>0</v>
      </c>
      <c r="E1245" s="7">
        <f>0</f>
        <v>0</v>
      </c>
      <c r="F1245" s="17">
        <f>2</f>
        <v>2</v>
      </c>
      <c r="G1245" s="17">
        <f>1</f>
        <v>1</v>
      </c>
      <c r="H1245" s="17">
        <f>6</f>
        <v>6</v>
      </c>
      <c r="I1245" s="16">
        <f>H1245/(F1245-G1245)</f>
        <v>6</v>
      </c>
      <c r="J1245" s="17" t="s">
        <v>281</v>
      </c>
      <c r="K1245" s="25">
        <f>6</f>
        <v>6</v>
      </c>
      <c r="L1245" s="25">
        <f>1</f>
        <v>1</v>
      </c>
      <c r="M1245" s="25">
        <f>22</f>
        <v>22</v>
      </c>
      <c r="N1245" s="24">
        <f>M1245/L1245</f>
        <v>22</v>
      </c>
      <c r="O1245" s="49" t="s">
        <v>1351</v>
      </c>
    </row>
    <row r="1246" spans="1:15" s="54" customFormat="1" x14ac:dyDescent="0.2">
      <c r="A1246" s="84">
        <v>1892137</v>
      </c>
      <c r="B1246" s="2" t="s">
        <v>2210</v>
      </c>
      <c r="C1246" s="2" t="s">
        <v>1660</v>
      </c>
      <c r="D1246" s="7">
        <f>2</f>
        <v>2</v>
      </c>
      <c r="E1246" s="7"/>
      <c r="F1246" s="17">
        <f>6</f>
        <v>6</v>
      </c>
      <c r="G1246" s="17">
        <f>0</f>
        <v>0</v>
      </c>
      <c r="H1246" s="17">
        <f>20</f>
        <v>20</v>
      </c>
      <c r="I1246" s="16">
        <f>H1246/(F1246-G1246)</f>
        <v>3.3333333333333335</v>
      </c>
      <c r="J1246" s="17">
        <v>6</v>
      </c>
      <c r="K1246" s="25">
        <f>24</f>
        <v>24</v>
      </c>
      <c r="L1246" s="25">
        <f>0</f>
        <v>0</v>
      </c>
      <c r="M1246" s="25">
        <f>63</f>
        <v>63</v>
      </c>
      <c r="N1246" s="24" t="e">
        <f>M1246/L1246</f>
        <v>#DIV/0!</v>
      </c>
      <c r="O1246" s="49" t="s">
        <v>1511</v>
      </c>
    </row>
    <row r="1247" spans="1:15" s="54" customFormat="1" x14ac:dyDescent="0.2">
      <c r="A1247" s="84">
        <v>1258167</v>
      </c>
      <c r="B1247" s="2" t="s">
        <v>2211</v>
      </c>
      <c r="C1247" s="2" t="s">
        <v>2212</v>
      </c>
      <c r="D1247" s="7">
        <v>2</v>
      </c>
      <c r="E1247" s="7">
        <f>0+0</f>
        <v>0</v>
      </c>
      <c r="F1247" s="17">
        <f>7+8+3</f>
        <v>18</v>
      </c>
      <c r="G1247" s="17">
        <f>0+5+1</f>
        <v>6</v>
      </c>
      <c r="H1247" s="17">
        <f>27+16+17</f>
        <v>60</v>
      </c>
      <c r="I1247" s="16">
        <f>H1247/(F1247-G1247)</f>
        <v>5</v>
      </c>
      <c r="J1247" s="17">
        <v>20</v>
      </c>
      <c r="K1247" s="25">
        <f>7+18+4</f>
        <v>29</v>
      </c>
      <c r="L1247" s="25">
        <f>0+3+1</f>
        <v>4</v>
      </c>
      <c r="M1247" s="25">
        <f>17+42+16</f>
        <v>75</v>
      </c>
      <c r="N1247" s="24">
        <f>M1247/L1247</f>
        <v>18.75</v>
      </c>
      <c r="O1247" s="49" t="s">
        <v>1509</v>
      </c>
    </row>
    <row r="1248" spans="1:15" s="54" customFormat="1" x14ac:dyDescent="0.2">
      <c r="A1248" s="4">
        <v>648608</v>
      </c>
      <c r="B1248" s="52" t="s">
        <v>1396</v>
      </c>
      <c r="C1248" s="2" t="s">
        <v>156</v>
      </c>
      <c r="D1248" s="7">
        <f>1+2+0+1</f>
        <v>4</v>
      </c>
      <c r="E1248" s="7">
        <f>0+0+0+0</f>
        <v>0</v>
      </c>
      <c r="F1248" s="17">
        <f>5+10+3+1+3</f>
        <v>22</v>
      </c>
      <c r="G1248" s="17">
        <f>2+0+0+0+0</f>
        <v>2</v>
      </c>
      <c r="H1248" s="17">
        <f>140+180+70+16+42</f>
        <v>448</v>
      </c>
      <c r="I1248" s="16">
        <f>H1248/(F1248-G1248)</f>
        <v>22.4</v>
      </c>
      <c r="J1248" s="17" t="s">
        <v>1453</v>
      </c>
      <c r="K1248" s="25"/>
      <c r="L1248" s="25"/>
      <c r="M1248" s="25"/>
      <c r="N1248" s="24" t="e">
        <f>M1248/L1248</f>
        <v>#DIV/0!</v>
      </c>
      <c r="O1248" s="23"/>
    </row>
    <row r="1249" spans="1:15" s="54" customFormat="1" x14ac:dyDescent="0.2">
      <c r="A1249" s="4">
        <v>871657</v>
      </c>
      <c r="B1249" s="52" t="s">
        <v>1413</v>
      </c>
      <c r="C1249" s="2" t="s">
        <v>66</v>
      </c>
      <c r="D1249" s="7">
        <f>1+3+5+2+1</f>
        <v>12</v>
      </c>
      <c r="E1249" s="7">
        <f>0+0+0+0+0</f>
        <v>0</v>
      </c>
      <c r="F1249" s="17">
        <f>16+13+8+12+1</f>
        <v>50</v>
      </c>
      <c r="G1249" s="17">
        <f>2+1+1+1+1</f>
        <v>6</v>
      </c>
      <c r="H1249" s="17">
        <f>273+278+59+187+6</f>
        <v>803</v>
      </c>
      <c r="I1249" s="16">
        <f>H1249/(F1249-G1249)</f>
        <v>18.25</v>
      </c>
      <c r="J1249" s="17">
        <v>77</v>
      </c>
      <c r="K1249" s="25">
        <f>1+11+2+46.4</f>
        <v>60.4</v>
      </c>
      <c r="L1249" s="25">
        <f>0+0+0+7</f>
        <v>7</v>
      </c>
      <c r="M1249" s="25">
        <f>3+74+21+234</f>
        <v>332</v>
      </c>
      <c r="N1249" s="24">
        <f>M1249/L1249</f>
        <v>47.428571428571431</v>
      </c>
      <c r="O1249" s="49" t="s">
        <v>1805</v>
      </c>
    </row>
    <row r="1250" spans="1:15" s="54" customFormat="1" x14ac:dyDescent="0.2">
      <c r="A1250" s="4">
        <v>1898305</v>
      </c>
      <c r="B1250" s="2" t="s">
        <v>2400</v>
      </c>
      <c r="C1250" s="2" t="s">
        <v>2401</v>
      </c>
      <c r="D1250" s="7">
        <f>0</f>
        <v>0</v>
      </c>
      <c r="E1250" s="7">
        <f>0</f>
        <v>0</v>
      </c>
      <c r="F1250" s="17"/>
      <c r="G1250" s="17"/>
      <c r="H1250" s="17"/>
      <c r="I1250" s="16" t="e">
        <f>H1250/(F1250-G1250)</f>
        <v>#DIV/0!</v>
      </c>
      <c r="J1250" s="17"/>
      <c r="K1250" s="25">
        <f>3.4</f>
        <v>3.4</v>
      </c>
      <c r="L1250" s="25">
        <f>2</f>
        <v>2</v>
      </c>
      <c r="M1250" s="25">
        <f>18</f>
        <v>18</v>
      </c>
      <c r="N1250" s="24">
        <f>M1250/L1250</f>
        <v>9</v>
      </c>
      <c r="O1250" s="49" t="s">
        <v>1362</v>
      </c>
    </row>
    <row r="1251" spans="1:15" s="54" customFormat="1" x14ac:dyDescent="0.2">
      <c r="A1251" s="57"/>
      <c r="B1251" s="58" t="s">
        <v>2686</v>
      </c>
      <c r="C1251" s="58" t="s">
        <v>2685</v>
      </c>
      <c r="D1251" s="59">
        <v>0</v>
      </c>
      <c r="E1251" s="59"/>
      <c r="F1251" s="60">
        <v>13</v>
      </c>
      <c r="G1251" s="60">
        <v>3</v>
      </c>
      <c r="H1251" s="60">
        <v>139</v>
      </c>
      <c r="I1251" s="61">
        <f>H1251/(F1251-G1251)</f>
        <v>13.9</v>
      </c>
      <c r="J1251" s="60">
        <v>47</v>
      </c>
      <c r="K1251" s="62">
        <v>81</v>
      </c>
      <c r="L1251" s="62">
        <v>19</v>
      </c>
      <c r="M1251" s="62">
        <v>263</v>
      </c>
      <c r="N1251" s="63">
        <f>M1251/L1251</f>
        <v>13.842105263157896</v>
      </c>
      <c r="O1251" s="66" t="s">
        <v>1464</v>
      </c>
    </row>
    <row r="1252" spans="1:15" s="54" customFormat="1" x14ac:dyDescent="0.2">
      <c r="A1252" s="84">
        <v>1615365</v>
      </c>
      <c r="B1252" s="2" t="s">
        <v>1745</v>
      </c>
      <c r="C1252" s="2" t="s">
        <v>1740</v>
      </c>
      <c r="D1252" s="7">
        <f>3+1</f>
        <v>4</v>
      </c>
      <c r="E1252" s="7">
        <f>0+0</f>
        <v>0</v>
      </c>
      <c r="F1252" s="17">
        <f>14+5</f>
        <v>19</v>
      </c>
      <c r="G1252" s="17">
        <f>3+0</f>
        <v>3</v>
      </c>
      <c r="H1252" s="17">
        <f>276+41</f>
        <v>317</v>
      </c>
      <c r="I1252" s="16">
        <f>H1252/(F1252-G1252)</f>
        <v>19.8125</v>
      </c>
      <c r="J1252" s="17">
        <v>75</v>
      </c>
      <c r="K1252" s="25">
        <f>63.2+19</f>
        <v>82.2</v>
      </c>
      <c r="L1252" s="25">
        <f>17+1</f>
        <v>18</v>
      </c>
      <c r="M1252" s="25">
        <f>212+66</f>
        <v>278</v>
      </c>
      <c r="N1252" s="24">
        <f>M1252/L1252</f>
        <v>15.444444444444445</v>
      </c>
      <c r="O1252" s="49" t="s">
        <v>1471</v>
      </c>
    </row>
    <row r="1253" spans="1:15" s="54" customFormat="1" x14ac:dyDescent="0.2">
      <c r="A1253" s="84">
        <v>802803</v>
      </c>
      <c r="B1253" s="2" t="s">
        <v>2214</v>
      </c>
      <c r="C1253" s="2" t="s">
        <v>2213</v>
      </c>
      <c r="D1253" s="7">
        <f>1</f>
        <v>1</v>
      </c>
      <c r="E1253" s="7"/>
      <c r="F1253" s="17">
        <f>8</f>
        <v>8</v>
      </c>
      <c r="G1253" s="17">
        <f>1</f>
        <v>1</v>
      </c>
      <c r="H1253" s="17">
        <f>33</f>
        <v>33</v>
      </c>
      <c r="I1253" s="16">
        <f>H1253/(F1253-G1253)</f>
        <v>4.7142857142857144</v>
      </c>
      <c r="J1253" s="17" t="s">
        <v>279</v>
      </c>
      <c r="K1253" s="25">
        <f>9</f>
        <v>9</v>
      </c>
      <c r="L1253" s="25">
        <f>0</f>
        <v>0</v>
      </c>
      <c r="M1253" s="25">
        <f>53</f>
        <v>53</v>
      </c>
      <c r="N1253" s="24" t="e">
        <f>M1253/L1253</f>
        <v>#DIV/0!</v>
      </c>
      <c r="O1253" s="23"/>
    </row>
    <row r="1254" spans="1:15" s="54" customFormat="1" x14ac:dyDescent="0.2">
      <c r="A1254" s="4"/>
      <c r="B1254" s="2" t="s">
        <v>1155</v>
      </c>
      <c r="C1254" s="2" t="s">
        <v>16</v>
      </c>
      <c r="D1254" s="7">
        <v>8</v>
      </c>
      <c r="E1254" s="7"/>
      <c r="F1254" s="17">
        <v>19</v>
      </c>
      <c r="G1254" s="17">
        <v>0</v>
      </c>
      <c r="H1254" s="17">
        <v>237</v>
      </c>
      <c r="I1254" s="16">
        <f>H1254/(F1254-G1254)</f>
        <v>12.473684210526315</v>
      </c>
      <c r="J1254" s="17">
        <v>39</v>
      </c>
      <c r="K1254" s="25">
        <v>117</v>
      </c>
      <c r="L1254" s="25">
        <v>27</v>
      </c>
      <c r="M1254" s="25">
        <v>298</v>
      </c>
      <c r="N1254" s="24">
        <f>M1254/L1254</f>
        <v>11.037037037037036</v>
      </c>
      <c r="O1254" s="23"/>
    </row>
    <row r="1255" spans="1:15" s="54" customFormat="1" x14ac:dyDescent="0.2">
      <c r="A1255" s="57">
        <v>1646349</v>
      </c>
      <c r="B1255" s="58" t="s">
        <v>2591</v>
      </c>
      <c r="C1255" s="58" t="s">
        <v>1837</v>
      </c>
      <c r="D1255" s="59">
        <f>2+3</f>
        <v>5</v>
      </c>
      <c r="E1255" s="59">
        <v>0</v>
      </c>
      <c r="F1255" s="60">
        <f>9+11</f>
        <v>20</v>
      </c>
      <c r="G1255" s="60">
        <f>3+2</f>
        <v>5</v>
      </c>
      <c r="H1255" s="60">
        <f>217+303</f>
        <v>520</v>
      </c>
      <c r="I1255" s="61">
        <f>H1255/(F1255-G1255)</f>
        <v>34.666666666666664</v>
      </c>
      <c r="J1255" s="60">
        <v>88</v>
      </c>
      <c r="K1255" s="62">
        <f>52.5+50.1+0.4</f>
        <v>103</v>
      </c>
      <c r="L1255" s="62">
        <f>19+6</f>
        <v>25</v>
      </c>
      <c r="M1255" s="62">
        <f>97+164</f>
        <v>261</v>
      </c>
      <c r="N1255" s="63">
        <f>M1255/L1255</f>
        <v>10.44</v>
      </c>
      <c r="O1255" s="66" t="s">
        <v>2493</v>
      </c>
    </row>
    <row r="1256" spans="1:15" s="54" customFormat="1" x14ac:dyDescent="0.2">
      <c r="A1256" s="84">
        <v>1835479</v>
      </c>
      <c r="B1256" s="2" t="s">
        <v>1958</v>
      </c>
      <c r="C1256" s="2" t="s">
        <v>1959</v>
      </c>
      <c r="D1256" s="7">
        <f>0</f>
        <v>0</v>
      </c>
      <c r="E1256" s="7">
        <f>0</f>
        <v>0</v>
      </c>
      <c r="F1256" s="17">
        <f>1</f>
        <v>1</v>
      </c>
      <c r="G1256" s="17">
        <f>0</f>
        <v>0</v>
      </c>
      <c r="H1256" s="17">
        <f>2</f>
        <v>2</v>
      </c>
      <c r="I1256" s="16">
        <f>H1256/(F1256-G1256)</f>
        <v>2</v>
      </c>
      <c r="J1256" s="17">
        <v>2</v>
      </c>
      <c r="K1256" s="25"/>
      <c r="L1256" s="25"/>
      <c r="M1256" s="25"/>
      <c r="N1256" s="24" t="e">
        <f>M1256/L1256</f>
        <v>#DIV/0!</v>
      </c>
      <c r="O1256" s="23"/>
    </row>
    <row r="1257" spans="1:15" s="54" customFormat="1" x14ac:dyDescent="0.2">
      <c r="A1257" s="57">
        <v>1159535</v>
      </c>
      <c r="B1257" s="58" t="s">
        <v>2402</v>
      </c>
      <c r="C1257" s="58" t="s">
        <v>2403</v>
      </c>
      <c r="D1257" s="59">
        <f>7+6+1</f>
        <v>14</v>
      </c>
      <c r="E1257" s="59">
        <f>0+0</f>
        <v>0</v>
      </c>
      <c r="F1257" s="60">
        <f>13+10+7</f>
        <v>30</v>
      </c>
      <c r="G1257" s="60">
        <f>4+1+3</f>
        <v>8</v>
      </c>
      <c r="H1257" s="60">
        <f>40+103+28</f>
        <v>171</v>
      </c>
      <c r="I1257" s="61">
        <f>H1257/(F1257-G1257)</f>
        <v>7.7727272727272725</v>
      </c>
      <c r="J1257" s="60" t="s">
        <v>2620</v>
      </c>
      <c r="K1257" s="62">
        <f>94.4+60.3+67</f>
        <v>221.7</v>
      </c>
      <c r="L1257" s="62">
        <f>21+10+7</f>
        <v>38</v>
      </c>
      <c r="M1257" s="62">
        <f>268+115+243</f>
        <v>626</v>
      </c>
      <c r="N1257" s="63">
        <f>M1257/L1257</f>
        <v>16.473684210526315</v>
      </c>
      <c r="O1257" s="66" t="s">
        <v>2023</v>
      </c>
    </row>
    <row r="1258" spans="1:15" s="54" customFormat="1" x14ac:dyDescent="0.2">
      <c r="A1258" s="57"/>
      <c r="B1258" s="58" t="s">
        <v>2712</v>
      </c>
      <c r="C1258" s="58" t="s">
        <v>2713</v>
      </c>
      <c r="D1258" s="59">
        <v>0</v>
      </c>
      <c r="E1258" s="59"/>
      <c r="F1258" s="60">
        <v>4</v>
      </c>
      <c r="G1258" s="60">
        <v>0</v>
      </c>
      <c r="H1258" s="60">
        <v>18</v>
      </c>
      <c r="I1258" s="61">
        <f>H1258/(F1258-G1258)</f>
        <v>4.5</v>
      </c>
      <c r="J1258" s="60">
        <v>15</v>
      </c>
      <c r="K1258" s="62">
        <v>12</v>
      </c>
      <c r="L1258" s="62">
        <v>4</v>
      </c>
      <c r="M1258" s="62">
        <v>80</v>
      </c>
      <c r="N1258" s="63">
        <f>M1258/L1258</f>
        <v>20</v>
      </c>
      <c r="O1258" s="66" t="s">
        <v>2714</v>
      </c>
    </row>
    <row r="1259" spans="1:15" s="54" customFormat="1" x14ac:dyDescent="0.2">
      <c r="A1259" s="57"/>
      <c r="B1259" s="58" t="s">
        <v>2724</v>
      </c>
      <c r="C1259" s="58" t="s">
        <v>2725</v>
      </c>
      <c r="D1259" s="59">
        <v>1</v>
      </c>
      <c r="E1259" s="59"/>
      <c r="F1259" s="60">
        <f>14</f>
        <v>14</v>
      </c>
      <c r="G1259" s="60">
        <v>0</v>
      </c>
      <c r="H1259" s="60">
        <f>154+35</f>
        <v>189</v>
      </c>
      <c r="I1259" s="61">
        <f>H1259/(F1259-G1259)</f>
        <v>13.5</v>
      </c>
      <c r="J1259" s="60">
        <v>36</v>
      </c>
      <c r="K1259" s="62">
        <f>11</f>
        <v>11</v>
      </c>
      <c r="L1259" s="62">
        <f>3</f>
        <v>3</v>
      </c>
      <c r="M1259" s="62">
        <f>44</f>
        <v>44</v>
      </c>
      <c r="N1259" s="63">
        <f>M1259/L1259</f>
        <v>14.666666666666666</v>
      </c>
      <c r="O1259" s="66" t="s">
        <v>2460</v>
      </c>
    </row>
    <row r="1260" spans="1:15" s="54" customFormat="1" x14ac:dyDescent="0.2">
      <c r="A1260" s="57"/>
      <c r="B1260" s="58" t="s">
        <v>2673</v>
      </c>
      <c r="C1260" s="58" t="s">
        <v>2674</v>
      </c>
      <c r="D1260" s="59">
        <v>12</v>
      </c>
      <c r="E1260" s="59"/>
      <c r="F1260" s="60">
        <v>10</v>
      </c>
      <c r="G1260" s="60">
        <v>0</v>
      </c>
      <c r="H1260" s="60">
        <v>198</v>
      </c>
      <c r="I1260" s="61">
        <f>H1260/(F1260-G1260)</f>
        <v>19.8</v>
      </c>
      <c r="J1260" s="60">
        <v>97</v>
      </c>
      <c r="K1260" s="62">
        <v>36</v>
      </c>
      <c r="L1260" s="62">
        <v>6</v>
      </c>
      <c r="M1260" s="62">
        <v>134</v>
      </c>
      <c r="N1260" s="63">
        <f>M1260/L1260</f>
        <v>22.333333333333332</v>
      </c>
      <c r="O1260" s="66" t="s">
        <v>2020</v>
      </c>
    </row>
    <row r="1261" spans="1:15" s="54" customFormat="1" x14ac:dyDescent="0.2">
      <c r="A1261" s="4">
        <v>1284600</v>
      </c>
      <c r="B1261" s="2" t="s">
        <v>2404</v>
      </c>
      <c r="C1261" s="2" t="s">
        <v>2405</v>
      </c>
      <c r="D1261" s="7">
        <f>0</f>
        <v>0</v>
      </c>
      <c r="E1261" s="7">
        <f>0</f>
        <v>0</v>
      </c>
      <c r="F1261" s="17">
        <f>6</f>
        <v>6</v>
      </c>
      <c r="G1261" s="17">
        <f>3</f>
        <v>3</v>
      </c>
      <c r="H1261" s="17">
        <f>102</f>
        <v>102</v>
      </c>
      <c r="I1261" s="16">
        <f>H1261/(F1261-G1261)</f>
        <v>34</v>
      </c>
      <c r="J1261" s="17">
        <v>35</v>
      </c>
      <c r="K1261" s="25">
        <f>18</f>
        <v>18</v>
      </c>
      <c r="L1261" s="25">
        <f>2</f>
        <v>2</v>
      </c>
      <c r="M1261" s="25">
        <f>47</f>
        <v>47</v>
      </c>
      <c r="N1261" s="24">
        <f>M1261/L1261</f>
        <v>23.5</v>
      </c>
      <c r="O1261" s="49" t="s">
        <v>1365</v>
      </c>
    </row>
    <row r="1262" spans="1:15" s="54" customFormat="1" x14ac:dyDescent="0.2">
      <c r="A1262" s="57">
        <v>1722559</v>
      </c>
      <c r="B1262" s="58" t="s">
        <v>2604</v>
      </c>
      <c r="C1262" s="58" t="s">
        <v>2605</v>
      </c>
      <c r="D1262" s="59">
        <f>1+4</f>
        <v>5</v>
      </c>
      <c r="E1262" s="59">
        <v>0</v>
      </c>
      <c r="F1262" s="60">
        <f>4+8</f>
        <v>12</v>
      </c>
      <c r="G1262" s="60">
        <f>1+1</f>
        <v>2</v>
      </c>
      <c r="H1262" s="60">
        <f>61+66</f>
        <v>127</v>
      </c>
      <c r="I1262" s="61">
        <f>H1262/(F1262-G1262)</f>
        <v>12.7</v>
      </c>
      <c r="J1262" s="60" t="s">
        <v>320</v>
      </c>
      <c r="K1262" s="62">
        <v>32</v>
      </c>
      <c r="L1262" s="62">
        <v>5</v>
      </c>
      <c r="M1262" s="62">
        <v>62</v>
      </c>
      <c r="N1262" s="63">
        <f>M1262/L1262</f>
        <v>12.4</v>
      </c>
      <c r="O1262" s="66" t="s">
        <v>2285</v>
      </c>
    </row>
    <row r="1263" spans="1:15" s="54" customFormat="1" x14ac:dyDescent="0.2">
      <c r="A1263" s="84">
        <v>1758618</v>
      </c>
      <c r="B1263" s="2" t="s">
        <v>1746</v>
      </c>
      <c r="C1263" s="2" t="s">
        <v>1582</v>
      </c>
      <c r="D1263" s="7">
        <f>7+2+12+1</f>
        <v>22</v>
      </c>
      <c r="E1263" s="7">
        <f>0+0</f>
        <v>0</v>
      </c>
      <c r="F1263" s="17">
        <f>14+14+14+4</f>
        <v>46</v>
      </c>
      <c r="G1263" s="17">
        <f>1+0+1+1</f>
        <v>3</v>
      </c>
      <c r="H1263" s="17">
        <f>259+248+129+38</f>
        <v>674</v>
      </c>
      <c r="I1263" s="16">
        <f>H1263/(F1263-G1263)</f>
        <v>15.674418604651162</v>
      </c>
      <c r="J1263" s="17" t="s">
        <v>395</v>
      </c>
      <c r="K1263" s="25">
        <f>121+70+99+21</f>
        <v>311</v>
      </c>
      <c r="L1263" s="25">
        <f>28+11+18+2</f>
        <v>59</v>
      </c>
      <c r="M1263" s="25">
        <f>276+257+382+119</f>
        <v>1034</v>
      </c>
      <c r="N1263" s="24">
        <f>M1263/L1263</f>
        <v>17.525423728813561</v>
      </c>
      <c r="O1263" s="49" t="s">
        <v>2034</v>
      </c>
    </row>
    <row r="1264" spans="1:15" s="54" customFormat="1" x14ac:dyDescent="0.2">
      <c r="A1264" s="84">
        <v>1408921</v>
      </c>
      <c r="B1264" s="2" t="s">
        <v>2215</v>
      </c>
      <c r="C1264" s="2" t="s">
        <v>2216</v>
      </c>
      <c r="D1264" s="7">
        <f>0</f>
        <v>0</v>
      </c>
      <c r="E1264" s="7"/>
      <c r="F1264" s="17">
        <f>4</f>
        <v>4</v>
      </c>
      <c r="G1264" s="17">
        <f>0</f>
        <v>0</v>
      </c>
      <c r="H1264" s="17">
        <f>0</f>
        <v>0</v>
      </c>
      <c r="I1264" s="16">
        <f>H1264/(F1264-G1264)</f>
        <v>0</v>
      </c>
      <c r="J1264" s="17">
        <v>0</v>
      </c>
      <c r="K1264" s="25">
        <f>5</f>
        <v>5</v>
      </c>
      <c r="L1264" s="25">
        <f>2</f>
        <v>2</v>
      </c>
      <c r="M1264" s="25">
        <f>18</f>
        <v>18</v>
      </c>
      <c r="N1264" s="24">
        <f>M1264/L1264</f>
        <v>9</v>
      </c>
      <c r="O1264" s="49" t="s">
        <v>1392</v>
      </c>
    </row>
    <row r="1265" spans="1:15" s="54" customFormat="1" x14ac:dyDescent="0.2">
      <c r="A1265" s="64">
        <v>1907955</v>
      </c>
      <c r="B1265" s="58" t="s">
        <v>2217</v>
      </c>
      <c r="C1265" s="58" t="s">
        <v>2218</v>
      </c>
      <c r="D1265" s="59">
        <f>1+4+3+13</f>
        <v>21</v>
      </c>
      <c r="E1265" s="59">
        <f>0+0+0</f>
        <v>0</v>
      </c>
      <c r="F1265" s="60">
        <f>5+11+6+12</f>
        <v>34</v>
      </c>
      <c r="G1265" s="60">
        <f>0+1+1+3</f>
        <v>5</v>
      </c>
      <c r="H1265" s="60">
        <f>75+278+91+255</f>
        <v>699</v>
      </c>
      <c r="I1265" s="61">
        <f>H1265/(F1265-G1265)</f>
        <v>24.103448275862068</v>
      </c>
      <c r="J1265" s="60">
        <v>67</v>
      </c>
      <c r="K1265" s="62">
        <f>45+98+54.3+101</f>
        <v>298.3</v>
      </c>
      <c r="L1265" s="62">
        <f>5+27+22+11</f>
        <v>65</v>
      </c>
      <c r="M1265" s="62">
        <f>164+265+179+392</f>
        <v>1000</v>
      </c>
      <c r="N1265" s="63">
        <f>M1265/L1265</f>
        <v>15.384615384615385</v>
      </c>
      <c r="O1265" s="66" t="s">
        <v>2473</v>
      </c>
    </row>
    <row r="1266" spans="1:15" s="54" customFormat="1" x14ac:dyDescent="0.2">
      <c r="A1266" s="57"/>
      <c r="B1266" s="58" t="s">
        <v>2691</v>
      </c>
      <c r="C1266" s="58" t="s">
        <v>2109</v>
      </c>
      <c r="D1266" s="59">
        <v>0</v>
      </c>
      <c r="E1266" s="59"/>
      <c r="F1266" s="60">
        <v>1</v>
      </c>
      <c r="G1266" s="60">
        <v>0</v>
      </c>
      <c r="H1266" s="60">
        <v>5</v>
      </c>
      <c r="I1266" s="61">
        <f>H1266/(F1266-G1266)</f>
        <v>5</v>
      </c>
      <c r="J1266" s="60">
        <v>5</v>
      </c>
      <c r="K1266" s="62">
        <v>3</v>
      </c>
      <c r="L1266" s="62">
        <v>0</v>
      </c>
      <c r="M1266" s="62">
        <v>16</v>
      </c>
      <c r="N1266" s="63" t="e">
        <f>M1266/L1266</f>
        <v>#DIV/0!</v>
      </c>
      <c r="O1266" s="81"/>
    </row>
    <row r="1267" spans="1:15" s="54" customFormat="1" x14ac:dyDescent="0.2">
      <c r="A1267" s="64"/>
      <c r="B1267" s="58" t="s">
        <v>2651</v>
      </c>
      <c r="C1267" s="58" t="s">
        <v>2652</v>
      </c>
      <c r="D1267" s="59">
        <v>2</v>
      </c>
      <c r="E1267" s="59">
        <v>0</v>
      </c>
      <c r="F1267" s="60">
        <v>1</v>
      </c>
      <c r="G1267" s="60">
        <v>0</v>
      </c>
      <c r="H1267" s="60">
        <v>18</v>
      </c>
      <c r="I1267" s="61">
        <f>H1267/(F1267-G1267)</f>
        <v>18</v>
      </c>
      <c r="J1267" s="60">
        <v>18</v>
      </c>
      <c r="K1267" s="62">
        <v>4</v>
      </c>
      <c r="L1267" s="62">
        <v>0</v>
      </c>
      <c r="M1267" s="62">
        <v>29</v>
      </c>
      <c r="N1267" s="63" t="e">
        <f>M1267/L1267</f>
        <v>#DIV/0!</v>
      </c>
      <c r="O1267" s="66" t="s">
        <v>2271</v>
      </c>
    </row>
    <row r="1268" spans="1:15" s="54" customFormat="1" x14ac:dyDescent="0.2">
      <c r="A1268" s="84">
        <v>1930978</v>
      </c>
      <c r="B1268" s="2" t="s">
        <v>2514</v>
      </c>
      <c r="C1268" s="2" t="s">
        <v>2515</v>
      </c>
      <c r="D1268" s="7">
        <v>0</v>
      </c>
      <c r="E1268" s="7">
        <v>0</v>
      </c>
      <c r="F1268" s="17">
        <v>9</v>
      </c>
      <c r="G1268" s="17">
        <v>3</v>
      </c>
      <c r="H1268" s="17">
        <v>31</v>
      </c>
      <c r="I1268" s="16">
        <f>H1268/(F1268-G1268)</f>
        <v>5.166666666666667</v>
      </c>
      <c r="J1268" s="17">
        <v>20</v>
      </c>
      <c r="K1268" s="25">
        <v>23</v>
      </c>
      <c r="L1268" s="25">
        <v>7</v>
      </c>
      <c r="M1268" s="25">
        <v>88</v>
      </c>
      <c r="N1268" s="24">
        <f>M1268/L1268</f>
        <v>12.571428571428571</v>
      </c>
      <c r="O1268" s="49" t="s">
        <v>1353</v>
      </c>
    </row>
    <row r="1269" spans="1:15" s="54" customFormat="1" x14ac:dyDescent="0.2">
      <c r="A1269" s="84">
        <v>1240277</v>
      </c>
      <c r="B1269" s="2" t="s">
        <v>1960</v>
      </c>
      <c r="C1269" s="2" t="s">
        <v>1961</v>
      </c>
      <c r="D1269" s="7">
        <f>1+3+4+2</f>
        <v>10</v>
      </c>
      <c r="E1269" s="7">
        <f>2</f>
        <v>2</v>
      </c>
      <c r="F1269" s="17">
        <f>8+7+7</f>
        <v>22</v>
      </c>
      <c r="G1269" s="17">
        <f>0+5+1</f>
        <v>6</v>
      </c>
      <c r="H1269" s="17">
        <f>69+28+49</f>
        <v>146</v>
      </c>
      <c r="I1269" s="16">
        <f>H1269/(F1269-G1269)</f>
        <v>9.125</v>
      </c>
      <c r="J1269" s="17">
        <v>23</v>
      </c>
      <c r="K1269" s="25">
        <f>26+12+21</f>
        <v>59</v>
      </c>
      <c r="L1269" s="25">
        <f>8+2+9</f>
        <v>19</v>
      </c>
      <c r="M1269" s="25">
        <f>83+60+74</f>
        <v>217</v>
      </c>
      <c r="N1269" s="24">
        <f>M1269/L1269</f>
        <v>11.421052631578947</v>
      </c>
      <c r="O1269" s="49" t="s">
        <v>1498</v>
      </c>
    </row>
    <row r="1270" spans="1:15" s="54" customFormat="1" x14ac:dyDescent="0.2">
      <c r="A1270" s="4"/>
      <c r="B1270" s="2" t="s">
        <v>1156</v>
      </c>
      <c r="C1270" s="2" t="s">
        <v>310</v>
      </c>
      <c r="D1270" s="7">
        <f>3+8+1+3+4+4+1+2+1+5+3+2</f>
        <v>37</v>
      </c>
      <c r="E1270" s="7"/>
      <c r="F1270" s="17">
        <f>10+10+1+1+13+11+1+12+1+1+13+15+13+11+11+2</f>
        <v>126</v>
      </c>
      <c r="G1270" s="17">
        <f>1+2+0+0+1+0+0+0</f>
        <v>4</v>
      </c>
      <c r="H1270" s="17">
        <f>30+81+28+5+112+112+12+282+15+244+191+247+286+47+7</f>
        <v>1699</v>
      </c>
      <c r="I1270" s="16">
        <f>H1270/(F1270-G1270)</f>
        <v>13.926229508196721</v>
      </c>
      <c r="J1270" s="17">
        <v>117</v>
      </c>
      <c r="K1270" s="25">
        <f>57+45+2+46+75+104+10+12+115+115+85+100+71+9</f>
        <v>846</v>
      </c>
      <c r="L1270" s="25">
        <f>12+9+8+19+17+2+1+17+24+18+18+14+2</f>
        <v>161</v>
      </c>
      <c r="M1270" s="25">
        <f>150+91+10+111+201+315+16+16+311+396+321+378+347+31</f>
        <v>2694</v>
      </c>
      <c r="N1270" s="24">
        <f>M1270/L1270</f>
        <v>16.732919254658384</v>
      </c>
      <c r="O1270" s="23"/>
    </row>
    <row r="1271" spans="1:15" s="54" customFormat="1" x14ac:dyDescent="0.2">
      <c r="A1271" s="4"/>
      <c r="B1271" s="2" t="s">
        <v>1157</v>
      </c>
      <c r="C1271" s="2" t="s">
        <v>19</v>
      </c>
      <c r="D1271" s="7">
        <f>1+2</f>
        <v>3</v>
      </c>
      <c r="E1271" s="7"/>
      <c r="F1271" s="17">
        <f>8+15</f>
        <v>23</v>
      </c>
      <c r="G1271" s="17">
        <f>1+1</f>
        <v>2</v>
      </c>
      <c r="H1271" s="17">
        <f>3+15</f>
        <v>18</v>
      </c>
      <c r="I1271" s="16">
        <f>H1271/(F1271-G1271)</f>
        <v>0.8571428571428571</v>
      </c>
      <c r="J1271" s="17">
        <v>4</v>
      </c>
      <c r="K1271" s="25">
        <f>32+37</f>
        <v>69</v>
      </c>
      <c r="L1271" s="25">
        <f>2+5</f>
        <v>7</v>
      </c>
      <c r="M1271" s="25">
        <f>85+109</f>
        <v>194</v>
      </c>
      <c r="N1271" s="24">
        <f>M1271/L1271</f>
        <v>27.714285714285715</v>
      </c>
      <c r="O1271" s="23"/>
    </row>
    <row r="1272" spans="1:15" s="54" customFormat="1" x14ac:dyDescent="0.2">
      <c r="A1272" s="4"/>
      <c r="B1272" s="4" t="s">
        <v>1158</v>
      </c>
      <c r="C1272" s="2" t="s">
        <v>135</v>
      </c>
      <c r="D1272" s="7">
        <f>3+1+3</f>
        <v>7</v>
      </c>
      <c r="E1272" s="7"/>
      <c r="F1272" s="17">
        <f>10+3+8</f>
        <v>21</v>
      </c>
      <c r="G1272" s="17">
        <f>5+0+2</f>
        <v>7</v>
      </c>
      <c r="H1272" s="17">
        <f>14+28+45</f>
        <v>87</v>
      </c>
      <c r="I1272" s="16">
        <f>H1272/(F1272-G1272)</f>
        <v>6.2142857142857144</v>
      </c>
      <c r="J1272" s="17">
        <v>23</v>
      </c>
      <c r="K1272" s="25">
        <f>17+4+4</f>
        <v>25</v>
      </c>
      <c r="L1272" s="25">
        <f>1+1+0</f>
        <v>2</v>
      </c>
      <c r="M1272" s="25">
        <f>58+29+23</f>
        <v>110</v>
      </c>
      <c r="N1272" s="24">
        <f>M1272/L1272</f>
        <v>55</v>
      </c>
      <c r="O1272" s="23"/>
    </row>
    <row r="1273" spans="1:15" s="54" customFormat="1" x14ac:dyDescent="0.2">
      <c r="A1273" s="4">
        <v>2095104</v>
      </c>
      <c r="B1273" s="4" t="s">
        <v>2538</v>
      </c>
      <c r="C1273" s="2" t="s">
        <v>2539</v>
      </c>
      <c r="D1273" s="7">
        <v>0</v>
      </c>
      <c r="E1273" s="7">
        <v>0</v>
      </c>
      <c r="F1273" s="17">
        <v>5</v>
      </c>
      <c r="G1273" s="17">
        <v>5</v>
      </c>
      <c r="H1273" s="17">
        <v>9</v>
      </c>
      <c r="I1273" s="16" t="e">
        <f>H1273/(F1273-G1273)</f>
        <v>#DIV/0!</v>
      </c>
      <c r="J1273" s="17" t="s">
        <v>1346</v>
      </c>
      <c r="K1273" s="25">
        <v>18</v>
      </c>
      <c r="L1273" s="25">
        <v>5</v>
      </c>
      <c r="M1273" s="25">
        <v>32</v>
      </c>
      <c r="N1273" s="24">
        <f>M1273/L1273</f>
        <v>6.4</v>
      </c>
      <c r="O1273" s="49" t="s">
        <v>2286</v>
      </c>
    </row>
    <row r="1274" spans="1:15" s="54" customFormat="1" x14ac:dyDescent="0.2">
      <c r="A1274" s="4">
        <v>681677</v>
      </c>
      <c r="B1274" s="4" t="s">
        <v>1159</v>
      </c>
      <c r="C1274" s="2" t="s">
        <v>381</v>
      </c>
      <c r="D1274" s="7">
        <f>0+4+2+0+1+2+0+1+3+5+3+1+0</f>
        <v>22</v>
      </c>
      <c r="E1274" s="7">
        <f>0+0+0+0</f>
        <v>0</v>
      </c>
      <c r="F1274" s="17">
        <f>6+12+8+2+2+3+11+2+8+13+13+3+7+2</f>
        <v>92</v>
      </c>
      <c r="G1274" s="17">
        <f>2+3+0+1+0+0+1+1+1+2+1+0+1</f>
        <v>13</v>
      </c>
      <c r="H1274" s="17">
        <f>18+27+54+9+0+198+191+6+67+137+132+17+122+4</f>
        <v>982</v>
      </c>
      <c r="I1274" s="16">
        <f>H1274/(F1274-G1274)</f>
        <v>12.430379746835444</v>
      </c>
      <c r="J1274" s="17">
        <v>63</v>
      </c>
      <c r="K1274" s="25">
        <f>25+30+32+71.4+78+0.9+49+66.5+(0.4)+121+35.1+30+2</f>
        <v>541.29999999999995</v>
      </c>
      <c r="L1274" s="25">
        <f>1+8+6+10+12+0+13+11+20+4+2+0</f>
        <v>87</v>
      </c>
      <c r="M1274" s="25">
        <f>42+121+157+209+252+5+181+294+322+123+142+1</f>
        <v>1849</v>
      </c>
      <c r="N1274" s="24">
        <f>M1274/L1274</f>
        <v>21.25287356321839</v>
      </c>
      <c r="O1274" s="49" t="s">
        <v>1389</v>
      </c>
    </row>
    <row r="1275" spans="1:15" s="54" customFormat="1" x14ac:dyDescent="0.2">
      <c r="A1275" s="4"/>
      <c r="B1275" s="2" t="s">
        <v>1160</v>
      </c>
      <c r="C1275" s="2" t="s">
        <v>12</v>
      </c>
      <c r="D1275" s="8">
        <v>6</v>
      </c>
      <c r="E1275" s="7">
        <v>1</v>
      </c>
      <c r="F1275" s="17">
        <v>17</v>
      </c>
      <c r="G1275" s="17">
        <v>2</v>
      </c>
      <c r="H1275" s="17">
        <v>98</v>
      </c>
      <c r="I1275" s="16">
        <f>H1275/(F1275-G1275)</f>
        <v>6.5333333333333332</v>
      </c>
      <c r="J1275" s="17">
        <v>25</v>
      </c>
      <c r="K1275" s="25">
        <v>8</v>
      </c>
      <c r="L1275" s="25">
        <v>1</v>
      </c>
      <c r="M1275" s="25">
        <v>21</v>
      </c>
      <c r="N1275" s="24">
        <f>M1275/L1275</f>
        <v>21</v>
      </c>
      <c r="O1275" s="23"/>
    </row>
    <row r="1276" spans="1:15" s="54" customFormat="1" x14ac:dyDescent="0.2">
      <c r="A1276" s="84">
        <v>1599251</v>
      </c>
      <c r="B1276" s="2" t="s">
        <v>1962</v>
      </c>
      <c r="C1276" s="2" t="s">
        <v>1963</v>
      </c>
      <c r="D1276" s="7">
        <f>0+3+6+1</f>
        <v>10</v>
      </c>
      <c r="E1276" s="7">
        <f>0</f>
        <v>0</v>
      </c>
      <c r="F1276" s="17">
        <f>5+10+12+7</f>
        <v>34</v>
      </c>
      <c r="G1276" s="17">
        <f>1+2+2+0</f>
        <v>5</v>
      </c>
      <c r="H1276" s="17">
        <f>24+97+97+51</f>
        <v>269</v>
      </c>
      <c r="I1276" s="16">
        <f>H1276/(F1276-G1276)</f>
        <v>9.2758620689655178</v>
      </c>
      <c r="J1276" s="17" t="s">
        <v>415</v>
      </c>
      <c r="K1276" s="25">
        <f>0.1+4+0</f>
        <v>4.0999999999999996</v>
      </c>
      <c r="L1276" s="25">
        <f>0+0+0</f>
        <v>0</v>
      </c>
      <c r="M1276" s="25">
        <f>26+0</f>
        <v>26</v>
      </c>
      <c r="N1276" s="24" t="e">
        <f>M1276/L1276</f>
        <v>#DIV/0!</v>
      </c>
      <c r="O1276" s="23"/>
    </row>
    <row r="1277" spans="1:15" s="54" customFormat="1" x14ac:dyDescent="0.2">
      <c r="A1277" s="84">
        <v>1608146</v>
      </c>
      <c r="B1277" s="2" t="s">
        <v>1747</v>
      </c>
      <c r="C1277" s="2" t="s">
        <v>1748</v>
      </c>
      <c r="D1277" s="7">
        <f>0+2</f>
        <v>2</v>
      </c>
      <c r="E1277" s="7">
        <f>0+0</f>
        <v>0</v>
      </c>
      <c r="F1277" s="17">
        <f>4+8</f>
        <v>12</v>
      </c>
      <c r="G1277" s="17">
        <f>1+2</f>
        <v>3</v>
      </c>
      <c r="H1277" s="17">
        <f>3+15</f>
        <v>18</v>
      </c>
      <c r="I1277" s="16">
        <f>H1277/(F1277-G1277)</f>
        <v>2</v>
      </c>
      <c r="J1277" s="17">
        <v>7</v>
      </c>
      <c r="K1277" s="25">
        <f>7+45</f>
        <v>52</v>
      </c>
      <c r="L1277" s="25">
        <f>2+9</f>
        <v>11</v>
      </c>
      <c r="M1277" s="25">
        <f>9+83</f>
        <v>92</v>
      </c>
      <c r="N1277" s="24">
        <f>M1277/L1277</f>
        <v>8.3636363636363633</v>
      </c>
      <c r="O1277" s="49" t="s">
        <v>2035</v>
      </c>
    </row>
    <row r="1278" spans="1:15" s="54" customFormat="1" x14ac:dyDescent="0.2">
      <c r="A1278" s="84">
        <v>1740293</v>
      </c>
      <c r="B1278" s="2" t="s">
        <v>1749</v>
      </c>
      <c r="C1278" s="2" t="s">
        <v>350</v>
      </c>
      <c r="D1278" s="7">
        <f>0</f>
        <v>0</v>
      </c>
      <c r="E1278" s="7">
        <f>0</f>
        <v>0</v>
      </c>
      <c r="F1278" s="17">
        <f>1</f>
        <v>1</v>
      </c>
      <c r="G1278" s="17">
        <f>1</f>
        <v>1</v>
      </c>
      <c r="H1278" s="17">
        <f>73</f>
        <v>73</v>
      </c>
      <c r="I1278" s="16" t="e">
        <f>H1278/(F1278-G1278)</f>
        <v>#DIV/0!</v>
      </c>
      <c r="J1278" s="17" t="s">
        <v>433</v>
      </c>
      <c r="K1278" s="25"/>
      <c r="L1278" s="25"/>
      <c r="M1278" s="25"/>
      <c r="N1278" s="24" t="e">
        <f>M1278/L1278</f>
        <v>#DIV/0!</v>
      </c>
      <c r="O1278" s="23"/>
    </row>
    <row r="1279" spans="1:15" s="54" customFormat="1" x14ac:dyDescent="0.2">
      <c r="A1279" s="4"/>
      <c r="B1279" s="2" t="s">
        <v>1161</v>
      </c>
      <c r="C1279" s="2" t="s">
        <v>11</v>
      </c>
      <c r="D1279" s="7">
        <f>1+11</f>
        <v>12</v>
      </c>
      <c r="E1279" s="7"/>
      <c r="F1279" s="17">
        <f>9+30</f>
        <v>39</v>
      </c>
      <c r="G1279" s="17">
        <v>4</v>
      </c>
      <c r="H1279" s="17">
        <f>66+382</f>
        <v>448</v>
      </c>
      <c r="I1279" s="16">
        <f>H1279/(F1279-G1279)</f>
        <v>12.8</v>
      </c>
      <c r="J1279" s="17" t="s">
        <v>448</v>
      </c>
      <c r="K1279" s="25">
        <f>43+313</f>
        <v>356</v>
      </c>
      <c r="L1279" s="25">
        <f>11+38</f>
        <v>49</v>
      </c>
      <c r="M1279" s="25">
        <f>149+1069</f>
        <v>1218</v>
      </c>
      <c r="N1279" s="24">
        <f>M1279/L1279</f>
        <v>24.857142857142858</v>
      </c>
      <c r="O1279" s="23"/>
    </row>
    <row r="1280" spans="1:15" s="54" customFormat="1" x14ac:dyDescent="0.2">
      <c r="A1280" s="4"/>
      <c r="B1280" s="4" t="s">
        <v>1162</v>
      </c>
      <c r="C1280" s="2" t="s">
        <v>242</v>
      </c>
      <c r="D1280" s="7">
        <f>1</f>
        <v>1</v>
      </c>
      <c r="E1280" s="7"/>
      <c r="F1280" s="17">
        <f>11</f>
        <v>11</v>
      </c>
      <c r="G1280" s="17">
        <f>1</f>
        <v>1</v>
      </c>
      <c r="H1280" s="17">
        <f>35</f>
        <v>35</v>
      </c>
      <c r="I1280" s="16">
        <f>H1280/(F1280-G1280)</f>
        <v>3.5</v>
      </c>
      <c r="J1280" s="17">
        <v>19</v>
      </c>
      <c r="K1280" s="25">
        <f>45</f>
        <v>45</v>
      </c>
      <c r="L1280" s="25">
        <f>6</f>
        <v>6</v>
      </c>
      <c r="M1280" s="25">
        <f>211</f>
        <v>211</v>
      </c>
      <c r="N1280" s="24">
        <f>M1280/L1280</f>
        <v>35.166666666666664</v>
      </c>
      <c r="O1280" s="23"/>
    </row>
    <row r="1281" spans="1:15" s="54" customFormat="1" x14ac:dyDescent="0.2">
      <c r="A1281" s="84">
        <v>1203757</v>
      </c>
      <c r="B1281" s="2" t="s">
        <v>2487</v>
      </c>
      <c r="C1281" s="2" t="s">
        <v>2488</v>
      </c>
      <c r="D1281" s="7">
        <v>0</v>
      </c>
      <c r="E1281" s="7">
        <v>0</v>
      </c>
      <c r="F1281" s="17">
        <v>1</v>
      </c>
      <c r="G1281" s="17">
        <v>0</v>
      </c>
      <c r="H1281" s="17">
        <v>0</v>
      </c>
      <c r="I1281" s="16">
        <f>H1281/(F1281-G1281)</f>
        <v>0</v>
      </c>
      <c r="J1281" s="17">
        <v>0</v>
      </c>
      <c r="K1281" s="25">
        <v>0</v>
      </c>
      <c r="L1281" s="25">
        <v>0</v>
      </c>
      <c r="M1281" s="25">
        <v>0</v>
      </c>
      <c r="N1281" s="24" t="e">
        <f>M1281/L1281</f>
        <v>#DIV/0!</v>
      </c>
      <c r="O1281" s="23"/>
    </row>
    <row r="1282" spans="1:15" s="54" customFormat="1" x14ac:dyDescent="0.2">
      <c r="A1282" s="84">
        <v>1764810</v>
      </c>
      <c r="B1282" s="73" t="s">
        <v>1964</v>
      </c>
      <c r="C1282" s="2" t="s">
        <v>1965</v>
      </c>
      <c r="D1282" s="7">
        <f>1</f>
        <v>1</v>
      </c>
      <c r="E1282" s="7">
        <f>0</f>
        <v>0</v>
      </c>
      <c r="F1282" s="17"/>
      <c r="G1282" s="17"/>
      <c r="H1282" s="17"/>
      <c r="I1282" s="16" t="e">
        <f>H1282/(F1282-G1282)</f>
        <v>#DIV/0!</v>
      </c>
      <c r="J1282" s="17"/>
      <c r="K1282" s="25"/>
      <c r="L1282" s="25"/>
      <c r="M1282" s="25"/>
      <c r="N1282" s="24" t="e">
        <f>M1282/L1282</f>
        <v>#DIV/0!</v>
      </c>
      <c r="O1282" s="23"/>
    </row>
    <row r="1283" spans="1:15" s="54" customFormat="1" x14ac:dyDescent="0.2">
      <c r="A1283" s="84">
        <v>1681562</v>
      </c>
      <c r="B1283" s="2" t="s">
        <v>1966</v>
      </c>
      <c r="C1283" s="2" t="s">
        <v>1967</v>
      </c>
      <c r="D1283" s="7">
        <f>2+4+0</f>
        <v>6</v>
      </c>
      <c r="E1283" s="7">
        <f>0</f>
        <v>0</v>
      </c>
      <c r="F1283" s="17">
        <f>6+6+1</f>
        <v>13</v>
      </c>
      <c r="G1283" s="17">
        <f>0+1+0</f>
        <v>1</v>
      </c>
      <c r="H1283" s="17">
        <f>79+16+7</f>
        <v>102</v>
      </c>
      <c r="I1283" s="16">
        <f>H1283/(F1283-G1283)</f>
        <v>8.5</v>
      </c>
      <c r="J1283" s="17">
        <v>40</v>
      </c>
      <c r="K1283" s="25">
        <f>97.1+81+25</f>
        <v>203.1</v>
      </c>
      <c r="L1283" s="25">
        <f>22+19+11</f>
        <v>52</v>
      </c>
      <c r="M1283" s="25">
        <f>198+318+67</f>
        <v>583</v>
      </c>
      <c r="N1283" s="24">
        <f>M1283/L1283</f>
        <v>11.211538461538462</v>
      </c>
      <c r="O1283" s="49" t="s">
        <v>2469</v>
      </c>
    </row>
    <row r="1284" spans="1:15" s="54" customFormat="1" x14ac:dyDescent="0.2">
      <c r="A1284" s="84">
        <v>1897461</v>
      </c>
      <c r="B1284" s="2" t="s">
        <v>2219</v>
      </c>
      <c r="C1284" s="2" t="s">
        <v>97</v>
      </c>
      <c r="D1284" s="7">
        <f>0</f>
        <v>0</v>
      </c>
      <c r="E1284" s="7"/>
      <c r="F1284" s="17">
        <f>3</f>
        <v>3</v>
      </c>
      <c r="G1284" s="17">
        <f>1</f>
        <v>1</v>
      </c>
      <c r="H1284" s="17">
        <f>74</f>
        <v>74</v>
      </c>
      <c r="I1284" s="16">
        <f>H1284/(F1284-G1284)</f>
        <v>37</v>
      </c>
      <c r="J1284" s="17" t="s">
        <v>394</v>
      </c>
      <c r="K1284" s="25">
        <f>8</f>
        <v>8</v>
      </c>
      <c r="L1284" s="25">
        <f>1</f>
        <v>1</v>
      </c>
      <c r="M1284" s="25">
        <f>45</f>
        <v>45</v>
      </c>
      <c r="N1284" s="24">
        <f>M1284/L1284</f>
        <v>45</v>
      </c>
      <c r="O1284" s="49" t="s">
        <v>2283</v>
      </c>
    </row>
    <row r="1285" spans="1:15" s="54" customFormat="1" x14ac:dyDescent="0.2">
      <c r="A1285" s="4"/>
      <c r="B1285" s="2" t="s">
        <v>1163</v>
      </c>
      <c r="C1285" s="2" t="s">
        <v>144</v>
      </c>
      <c r="D1285" s="7">
        <f>1+11+6</f>
        <v>18</v>
      </c>
      <c r="E1285" s="7"/>
      <c r="F1285" s="17">
        <f>16+11+11</f>
        <v>38</v>
      </c>
      <c r="G1285" s="17">
        <f>3+3</f>
        <v>6</v>
      </c>
      <c r="H1285" s="17">
        <f>196+49+39</f>
        <v>284</v>
      </c>
      <c r="I1285" s="16">
        <f>H1285/(F1285-G1285)</f>
        <v>8.875</v>
      </c>
      <c r="J1285" s="17">
        <v>29</v>
      </c>
      <c r="K1285" s="25">
        <f>34+63+13</f>
        <v>110</v>
      </c>
      <c r="L1285" s="25">
        <f>4+7+4</f>
        <v>15</v>
      </c>
      <c r="M1285" s="25">
        <f>115+244+84</f>
        <v>443</v>
      </c>
      <c r="N1285" s="24">
        <f>M1285/L1285</f>
        <v>29.533333333333335</v>
      </c>
      <c r="O1285" s="23"/>
    </row>
    <row r="1286" spans="1:15" s="54" customFormat="1" x14ac:dyDescent="0.2">
      <c r="A1286" s="4">
        <v>728457</v>
      </c>
      <c r="B1286" s="2" t="s">
        <v>1164</v>
      </c>
      <c r="C1286" s="2" t="s">
        <v>145</v>
      </c>
      <c r="D1286" s="7">
        <f>48+6+2+1+17</f>
        <v>74</v>
      </c>
      <c r="E1286" s="7">
        <f>0+2</f>
        <v>2</v>
      </c>
      <c r="F1286" s="17">
        <f>158+1+15+10+7+14</f>
        <v>205</v>
      </c>
      <c r="G1286" s="17">
        <f>6+1+2+0</f>
        <v>9</v>
      </c>
      <c r="H1286" s="17">
        <f>3268+13+302+183+36+101</f>
        <v>3903</v>
      </c>
      <c r="I1286" s="16">
        <f>H1286/(F1286-G1286)</f>
        <v>19.913265306122447</v>
      </c>
      <c r="J1286" s="17" t="s">
        <v>292</v>
      </c>
      <c r="K1286" s="25">
        <f>875+7+136+71+4+17</f>
        <v>1110</v>
      </c>
      <c r="L1286" s="25">
        <f>154+2+37+15+0+1</f>
        <v>209</v>
      </c>
      <c r="M1286" s="25">
        <f>2715+29+367+188+17+98</f>
        <v>3414</v>
      </c>
      <c r="N1286" s="24">
        <f>M1286/L1286</f>
        <v>16.334928229665071</v>
      </c>
      <c r="O1286" s="49" t="s">
        <v>1510</v>
      </c>
    </row>
    <row r="1287" spans="1:15" s="54" customFormat="1" x14ac:dyDescent="0.2">
      <c r="A1287" s="4">
        <v>1099559</v>
      </c>
      <c r="B1287" s="2" t="s">
        <v>1583</v>
      </c>
      <c r="C1287" s="2" t="s">
        <v>1584</v>
      </c>
      <c r="D1287" s="7">
        <f>44+7+1+3+3+1+3</f>
        <v>62</v>
      </c>
      <c r="E1287" s="7">
        <f>0+0</f>
        <v>0</v>
      </c>
      <c r="F1287" s="17">
        <f>105+10+1+1+12+12+1+5</f>
        <v>147</v>
      </c>
      <c r="G1287" s="17">
        <f>8+1+1+1+0+3</f>
        <v>14</v>
      </c>
      <c r="H1287" s="17">
        <f>2305+354+36+43+317+385+27+25</f>
        <v>3492</v>
      </c>
      <c r="I1287" s="16">
        <f>H1287/(F1287-G1287)</f>
        <v>26.255639097744361</v>
      </c>
      <c r="J1287" s="17">
        <v>124</v>
      </c>
      <c r="K1287" s="25">
        <f>430+66+3+68+23</f>
        <v>590</v>
      </c>
      <c r="L1287" s="25">
        <f>71+9+1+15+7</f>
        <v>103</v>
      </c>
      <c r="M1287" s="25">
        <f>1502+218+321+94</f>
        <v>2135</v>
      </c>
      <c r="N1287" s="24">
        <f>M1287/L1287</f>
        <v>20.728155339805824</v>
      </c>
      <c r="O1287" s="23"/>
    </row>
    <row r="1288" spans="1:15" s="54" customFormat="1" x14ac:dyDescent="0.2">
      <c r="A1288" s="4"/>
      <c r="B1288" s="2" t="s">
        <v>1165</v>
      </c>
      <c r="C1288" s="2" t="s">
        <v>19</v>
      </c>
      <c r="D1288" s="7">
        <v>1</v>
      </c>
      <c r="E1288" s="7"/>
      <c r="F1288" s="17">
        <v>22</v>
      </c>
      <c r="G1288" s="17">
        <v>6</v>
      </c>
      <c r="H1288" s="17">
        <v>48</v>
      </c>
      <c r="I1288" s="16">
        <f>H1288/(F1288-G1288)</f>
        <v>3</v>
      </c>
      <c r="J1288" s="17"/>
      <c r="K1288" s="25">
        <v>31</v>
      </c>
      <c r="L1288" s="25">
        <v>2</v>
      </c>
      <c r="M1288" s="25">
        <v>142</v>
      </c>
      <c r="N1288" s="24">
        <f>M1288/L1288</f>
        <v>71</v>
      </c>
      <c r="O1288" s="23"/>
    </row>
    <row r="1289" spans="1:15" s="54" customFormat="1" x14ac:dyDescent="0.2">
      <c r="A1289" s="84">
        <v>1834534</v>
      </c>
      <c r="B1289" s="2" t="s">
        <v>2628</v>
      </c>
      <c r="C1289" s="2" t="s">
        <v>2235</v>
      </c>
      <c r="D1289" s="7">
        <f>3+3</f>
        <v>6</v>
      </c>
      <c r="E1289" s="7">
        <v>0</v>
      </c>
      <c r="F1289" s="17">
        <f>9+10</f>
        <v>19</v>
      </c>
      <c r="G1289" s="17">
        <f>3+3</f>
        <v>6</v>
      </c>
      <c r="H1289" s="17">
        <f>40+47</f>
        <v>87</v>
      </c>
      <c r="I1289" s="16">
        <f>H1289/(F1289-G1289)</f>
        <v>6.6923076923076925</v>
      </c>
      <c r="J1289" s="17" t="s">
        <v>279</v>
      </c>
      <c r="K1289" s="25">
        <f>49.1+39.4</f>
        <v>88.5</v>
      </c>
      <c r="L1289" s="25">
        <f>13+13</f>
        <v>26</v>
      </c>
      <c r="M1289" s="25">
        <f>126+103</f>
        <v>229</v>
      </c>
      <c r="N1289" s="24">
        <f>M1289/L1289</f>
        <v>8.8076923076923084</v>
      </c>
      <c r="O1289" s="49" t="s">
        <v>1387</v>
      </c>
    </row>
    <row r="1290" spans="1:15" s="54" customFormat="1" x14ac:dyDescent="0.2">
      <c r="A1290" s="64"/>
      <c r="B1290" s="58" t="s">
        <v>2635</v>
      </c>
      <c r="C1290" s="58" t="s">
        <v>2636</v>
      </c>
      <c r="D1290" s="59">
        <v>1</v>
      </c>
      <c r="E1290" s="59">
        <v>0</v>
      </c>
      <c r="F1290" s="60">
        <v>11</v>
      </c>
      <c r="G1290" s="60">
        <v>0</v>
      </c>
      <c r="H1290" s="60">
        <v>118</v>
      </c>
      <c r="I1290" s="61">
        <f>H1290/(F1290-G1290)</f>
        <v>10.727272727272727</v>
      </c>
      <c r="J1290" s="60">
        <v>26</v>
      </c>
      <c r="K1290" s="62">
        <v>56.1</v>
      </c>
      <c r="L1290" s="62">
        <v>8</v>
      </c>
      <c r="M1290" s="62">
        <v>288</v>
      </c>
      <c r="N1290" s="63">
        <f>M1290/L1290</f>
        <v>36</v>
      </c>
      <c r="O1290" s="66" t="s">
        <v>2637</v>
      </c>
    </row>
    <row r="1291" spans="1:15" s="54" customFormat="1" x14ac:dyDescent="0.2">
      <c r="A1291" s="4">
        <v>1047150</v>
      </c>
      <c r="B1291" s="2" t="s">
        <v>1319</v>
      </c>
      <c r="C1291" s="2"/>
      <c r="D1291" s="7">
        <f>0</f>
        <v>0</v>
      </c>
      <c r="E1291" s="7">
        <f>0</f>
        <v>0</v>
      </c>
      <c r="F1291" s="17">
        <f>10</f>
        <v>10</v>
      </c>
      <c r="G1291" s="17">
        <f>1</f>
        <v>1</v>
      </c>
      <c r="H1291" s="17">
        <f>34</f>
        <v>34</v>
      </c>
      <c r="I1291" s="16">
        <f>H1291/(F1291-G1291)</f>
        <v>3.7777777777777777</v>
      </c>
      <c r="J1291" s="17">
        <v>13</v>
      </c>
      <c r="K1291" s="25">
        <f>26.1</f>
        <v>26.1</v>
      </c>
      <c r="L1291" s="25">
        <f>9</f>
        <v>9</v>
      </c>
      <c r="M1291" s="25">
        <f>126</f>
        <v>126</v>
      </c>
      <c r="N1291" s="24">
        <f>M1291/L1291</f>
        <v>14</v>
      </c>
      <c r="O1291" s="49" t="s">
        <v>1390</v>
      </c>
    </row>
    <row r="1292" spans="1:15" s="54" customFormat="1" x14ac:dyDescent="0.2">
      <c r="A1292" s="4">
        <v>2094686</v>
      </c>
      <c r="B1292" s="2" t="s">
        <v>2451</v>
      </c>
      <c r="C1292" s="2" t="s">
        <v>2406</v>
      </c>
      <c r="D1292" s="7">
        <f>1</f>
        <v>1</v>
      </c>
      <c r="E1292" s="7">
        <f>0</f>
        <v>0</v>
      </c>
      <c r="F1292" s="17">
        <f>14</f>
        <v>14</v>
      </c>
      <c r="G1292" s="17">
        <f>2</f>
        <v>2</v>
      </c>
      <c r="H1292" s="17">
        <f>98</f>
        <v>98</v>
      </c>
      <c r="I1292" s="16">
        <f>H1292/(F1292-G1292)</f>
        <v>8.1666666666666661</v>
      </c>
      <c r="J1292" s="17">
        <v>23</v>
      </c>
      <c r="K1292" s="25">
        <f>8</f>
        <v>8</v>
      </c>
      <c r="L1292" s="25">
        <f>0</f>
        <v>0</v>
      </c>
      <c r="M1292" s="25">
        <f>42</f>
        <v>42</v>
      </c>
      <c r="N1292" s="24" t="e">
        <f>M1292/L1292</f>
        <v>#DIV/0!</v>
      </c>
      <c r="O1292" s="49" t="s">
        <v>1382</v>
      </c>
    </row>
    <row r="1293" spans="1:15" s="54" customFormat="1" x14ac:dyDescent="0.2">
      <c r="A1293" s="4"/>
      <c r="B1293" s="4" t="s">
        <v>1169</v>
      </c>
      <c r="C1293" s="2" t="s">
        <v>216</v>
      </c>
      <c r="D1293" s="7">
        <f>1+1</f>
        <v>2</v>
      </c>
      <c r="E1293" s="7"/>
      <c r="F1293" s="17">
        <f>10+7</f>
        <v>17</v>
      </c>
      <c r="G1293" s="17">
        <f>0+0</f>
        <v>0</v>
      </c>
      <c r="H1293" s="17">
        <f>29+18</f>
        <v>47</v>
      </c>
      <c r="I1293" s="16">
        <f>H1293/(F1293-G1293)</f>
        <v>2.7647058823529411</v>
      </c>
      <c r="J1293" s="17">
        <v>9</v>
      </c>
      <c r="K1293" s="25">
        <f>54+51</f>
        <v>105</v>
      </c>
      <c r="L1293" s="25">
        <f>7+12</f>
        <v>19</v>
      </c>
      <c r="M1293" s="25">
        <f>71+68</f>
        <v>139</v>
      </c>
      <c r="N1293" s="24">
        <f>M1293/L1293</f>
        <v>7.3157894736842106</v>
      </c>
      <c r="O1293" s="23"/>
    </row>
    <row r="1294" spans="1:15" s="54" customFormat="1" x14ac:dyDescent="0.2">
      <c r="A1294" s="84">
        <v>1890739</v>
      </c>
      <c r="B1294" s="2" t="s">
        <v>2220</v>
      </c>
      <c r="C1294" s="2" t="s">
        <v>2221</v>
      </c>
      <c r="D1294" s="7">
        <f>8</f>
        <v>8</v>
      </c>
      <c r="E1294" s="7">
        <f>1</f>
        <v>1</v>
      </c>
      <c r="F1294" s="17">
        <f>12</f>
        <v>12</v>
      </c>
      <c r="G1294" s="17">
        <f>1</f>
        <v>1</v>
      </c>
      <c r="H1294" s="17">
        <f>130</f>
        <v>130</v>
      </c>
      <c r="I1294" s="16">
        <f>H1294/(F1294-G1294)</f>
        <v>11.818181818181818</v>
      </c>
      <c r="J1294" s="17">
        <v>32</v>
      </c>
      <c r="K1294" s="25">
        <f>8</f>
        <v>8</v>
      </c>
      <c r="L1294" s="25">
        <f>1</f>
        <v>1</v>
      </c>
      <c r="M1294" s="25">
        <f>27</f>
        <v>27</v>
      </c>
      <c r="N1294" s="24">
        <f>M1294/L1294</f>
        <v>27</v>
      </c>
      <c r="O1294" s="49" t="s">
        <v>1623</v>
      </c>
    </row>
    <row r="1295" spans="1:15" s="54" customFormat="1" x14ac:dyDescent="0.2">
      <c r="A1295" s="64">
        <v>1615392</v>
      </c>
      <c r="B1295" s="58" t="s">
        <v>1750</v>
      </c>
      <c r="C1295" s="58" t="s">
        <v>1751</v>
      </c>
      <c r="D1295" s="59">
        <f>3+8+1+1+0+2+5</f>
        <v>20</v>
      </c>
      <c r="E1295" s="59">
        <f>0+0+0</f>
        <v>0</v>
      </c>
      <c r="F1295" s="60">
        <f>11+15+14+13+13+13</f>
        <v>79</v>
      </c>
      <c r="G1295" s="60">
        <f>2+2+1+0+1+1</f>
        <v>7</v>
      </c>
      <c r="H1295" s="60">
        <f>271+377+194+92+195+98</f>
        <v>1227</v>
      </c>
      <c r="I1295" s="61">
        <f>H1295/(F1295-G1295)</f>
        <v>17.041666666666668</v>
      </c>
      <c r="J1295" s="60">
        <v>65</v>
      </c>
      <c r="K1295" s="62">
        <f>66+69+66+86+60+74.2</f>
        <v>421.2</v>
      </c>
      <c r="L1295" s="62">
        <f>14+16+17+15+13+15</f>
        <v>90</v>
      </c>
      <c r="M1295" s="62">
        <f>196+212+193+245+249+261</f>
        <v>1356</v>
      </c>
      <c r="N1295" s="63">
        <f>M1295/L1295</f>
        <v>15.066666666666666</v>
      </c>
      <c r="O1295" s="66" t="s">
        <v>1806</v>
      </c>
    </row>
    <row r="1296" spans="1:15" s="54" customFormat="1" x14ac:dyDescent="0.2">
      <c r="A1296" s="84">
        <v>1443749</v>
      </c>
      <c r="B1296" s="86" t="s">
        <v>1585</v>
      </c>
      <c r="C1296" s="2" t="s">
        <v>1586</v>
      </c>
      <c r="D1296" s="7">
        <f>3+1+4+8</f>
        <v>16</v>
      </c>
      <c r="E1296" s="7">
        <f>0+0+0+0</f>
        <v>0</v>
      </c>
      <c r="F1296" s="17">
        <f>10+12+6+7</f>
        <v>35</v>
      </c>
      <c r="G1296" s="17">
        <f>1+4+1+4</f>
        <v>10</v>
      </c>
      <c r="H1296" s="17">
        <f>79+81+28+48</f>
        <v>236</v>
      </c>
      <c r="I1296" s="16">
        <f>H1296/(F1296-G1296)</f>
        <v>9.44</v>
      </c>
      <c r="J1296" s="17">
        <v>33</v>
      </c>
      <c r="K1296" s="25">
        <f>71+130+75.4+74.4+(0.4)</f>
        <v>351.19999999999993</v>
      </c>
      <c r="L1296" s="25">
        <f>9+20+16+12</f>
        <v>57</v>
      </c>
      <c r="M1296" s="25">
        <f>229+475+208+268</f>
        <v>1180</v>
      </c>
      <c r="N1296" s="24">
        <f>M1296/L1296</f>
        <v>20.701754385964911</v>
      </c>
      <c r="O1296" s="49" t="s">
        <v>2030</v>
      </c>
    </row>
    <row r="1297" spans="1:15" s="54" customFormat="1" x14ac:dyDescent="0.2">
      <c r="A1297" s="84">
        <v>1906081</v>
      </c>
      <c r="B1297" s="2" t="s">
        <v>1585</v>
      </c>
      <c r="C1297" s="2" t="s">
        <v>1586</v>
      </c>
      <c r="D1297" s="7">
        <f>3</f>
        <v>3</v>
      </c>
      <c r="E1297" s="7"/>
      <c r="F1297" s="17">
        <f>14</f>
        <v>14</v>
      </c>
      <c r="G1297" s="17">
        <f>2</f>
        <v>2</v>
      </c>
      <c r="H1297" s="17">
        <f>50</f>
        <v>50</v>
      </c>
      <c r="I1297" s="16">
        <f>H1297/(F1297-G1297)</f>
        <v>4.166666666666667</v>
      </c>
      <c r="J1297" s="17" t="s">
        <v>269</v>
      </c>
      <c r="K1297" s="25">
        <f>60.4</f>
        <v>60.4</v>
      </c>
      <c r="L1297" s="25">
        <f>12</f>
        <v>12</v>
      </c>
      <c r="M1297" s="25">
        <f>350</f>
        <v>350</v>
      </c>
      <c r="N1297" s="24">
        <f>M1297/L1297</f>
        <v>29.166666666666668</v>
      </c>
      <c r="O1297" s="49" t="s">
        <v>2284</v>
      </c>
    </row>
    <row r="1298" spans="1:15" s="54" customFormat="1" x14ac:dyDescent="0.2">
      <c r="A1298" s="84">
        <v>1443738</v>
      </c>
      <c r="B1298" s="86" t="s">
        <v>1587</v>
      </c>
      <c r="C1298" s="2" t="s">
        <v>1588</v>
      </c>
      <c r="D1298" s="7">
        <f>4+4+1</f>
        <v>9</v>
      </c>
      <c r="E1298" s="7">
        <f>0+0</f>
        <v>0</v>
      </c>
      <c r="F1298" s="17">
        <f>13+7+9</f>
        <v>29</v>
      </c>
      <c r="G1298" s="17">
        <f>2+4+1</f>
        <v>7</v>
      </c>
      <c r="H1298" s="17">
        <f>123+39+144</f>
        <v>306</v>
      </c>
      <c r="I1298" s="16">
        <f>H1298/(F1298-G1298)</f>
        <v>13.909090909090908</v>
      </c>
      <c r="J1298" s="17">
        <v>60</v>
      </c>
      <c r="K1298" s="25">
        <f>118.3+90+56</f>
        <v>264.3</v>
      </c>
      <c r="L1298" s="25">
        <f>17+22+5</f>
        <v>44</v>
      </c>
      <c r="M1298" s="25">
        <f>375+289+224</f>
        <v>888</v>
      </c>
      <c r="N1298" s="24">
        <f>M1298/L1298</f>
        <v>20.181818181818183</v>
      </c>
      <c r="O1298" s="49" t="s">
        <v>1625</v>
      </c>
    </row>
    <row r="1299" spans="1:15" s="54" customFormat="1" x14ac:dyDescent="0.2">
      <c r="A1299" s="84">
        <v>1443742</v>
      </c>
      <c r="B1299" s="86" t="s">
        <v>1589</v>
      </c>
      <c r="C1299" s="2" t="s">
        <v>1590</v>
      </c>
      <c r="D1299" s="7">
        <f>1</f>
        <v>1</v>
      </c>
      <c r="E1299" s="7">
        <f>0</f>
        <v>0</v>
      </c>
      <c r="F1299" s="17">
        <f>8</f>
        <v>8</v>
      </c>
      <c r="G1299" s="17">
        <f>1</f>
        <v>1</v>
      </c>
      <c r="H1299" s="17">
        <f>46</f>
        <v>46</v>
      </c>
      <c r="I1299" s="16">
        <f>H1299/(F1299-G1299)</f>
        <v>6.5714285714285712</v>
      </c>
      <c r="J1299" s="17">
        <v>26</v>
      </c>
      <c r="K1299" s="25">
        <f>17</f>
        <v>17</v>
      </c>
      <c r="L1299" s="25">
        <f>5</f>
        <v>5</v>
      </c>
      <c r="M1299" s="25">
        <f>106</f>
        <v>106</v>
      </c>
      <c r="N1299" s="24">
        <f>M1299/L1299</f>
        <v>21.2</v>
      </c>
      <c r="O1299" s="49" t="s">
        <v>1351</v>
      </c>
    </row>
    <row r="1300" spans="1:15" s="54" customFormat="1" x14ac:dyDescent="0.2">
      <c r="A1300" s="84">
        <v>2309898</v>
      </c>
      <c r="B1300" s="86" t="s">
        <v>2478</v>
      </c>
      <c r="C1300" s="2" t="s">
        <v>2479</v>
      </c>
      <c r="D1300" s="7">
        <v>1</v>
      </c>
      <c r="E1300" s="7">
        <v>0</v>
      </c>
      <c r="F1300" s="17">
        <v>4</v>
      </c>
      <c r="G1300" s="17">
        <v>1</v>
      </c>
      <c r="H1300" s="17">
        <v>84</v>
      </c>
      <c r="I1300" s="16">
        <f>H1300/(F1300-G1300)</f>
        <v>28</v>
      </c>
      <c r="J1300" s="17">
        <v>47</v>
      </c>
      <c r="K1300" s="25">
        <v>14</v>
      </c>
      <c r="L1300" s="25">
        <v>4</v>
      </c>
      <c r="M1300" s="25">
        <v>53</v>
      </c>
      <c r="N1300" s="24">
        <f>M1300/L1300</f>
        <v>13.25</v>
      </c>
      <c r="O1300" s="49" t="s">
        <v>1807</v>
      </c>
    </row>
    <row r="1301" spans="1:15" s="54" customFormat="1" x14ac:dyDescent="0.2">
      <c r="A1301" s="84">
        <v>1589423</v>
      </c>
      <c r="B1301" s="86" t="s">
        <v>1591</v>
      </c>
      <c r="C1301" s="2" t="s">
        <v>1592</v>
      </c>
      <c r="D1301" s="7">
        <f>2</f>
        <v>2</v>
      </c>
      <c r="E1301" s="7">
        <f>0</f>
        <v>0</v>
      </c>
      <c r="F1301" s="17">
        <f>1</f>
        <v>1</v>
      </c>
      <c r="G1301" s="17">
        <f>0</f>
        <v>0</v>
      </c>
      <c r="H1301" s="17">
        <f>2</f>
        <v>2</v>
      </c>
      <c r="I1301" s="16">
        <f>H1301/(F1301-G1301)</f>
        <v>2</v>
      </c>
      <c r="J1301" s="17">
        <v>2</v>
      </c>
      <c r="K1301" s="25"/>
      <c r="L1301" s="25"/>
      <c r="M1301" s="25"/>
      <c r="N1301" s="24" t="e">
        <f>M1301/L1301</f>
        <v>#DIV/0!</v>
      </c>
      <c r="O1301" s="23"/>
    </row>
    <row r="1302" spans="1:15" s="54" customFormat="1" x14ac:dyDescent="0.2">
      <c r="A1302" s="4">
        <v>2047780</v>
      </c>
      <c r="B1302" s="2" t="s">
        <v>2407</v>
      </c>
      <c r="C1302" s="2" t="s">
        <v>2408</v>
      </c>
      <c r="D1302" s="7">
        <f>0</f>
        <v>0</v>
      </c>
      <c r="E1302" s="7">
        <f>0</f>
        <v>0</v>
      </c>
      <c r="F1302" s="17">
        <f>12</f>
        <v>12</v>
      </c>
      <c r="G1302" s="17">
        <f>3</f>
        <v>3</v>
      </c>
      <c r="H1302" s="17">
        <f>9</f>
        <v>9</v>
      </c>
      <c r="I1302" s="16">
        <f>H1302/(F1302-G1302)</f>
        <v>1</v>
      </c>
      <c r="J1302" s="17">
        <v>2</v>
      </c>
      <c r="K1302" s="25">
        <f>27</f>
        <v>27</v>
      </c>
      <c r="L1302" s="25">
        <f>4</f>
        <v>4</v>
      </c>
      <c r="M1302" s="25">
        <f>133</f>
        <v>133</v>
      </c>
      <c r="N1302" s="24">
        <f>M1302/L1302</f>
        <v>33.25</v>
      </c>
      <c r="O1302" s="49" t="s">
        <v>1355</v>
      </c>
    </row>
    <row r="1303" spans="1:15" s="54" customFormat="1" x14ac:dyDescent="0.2">
      <c r="A1303" s="64">
        <v>1615345</v>
      </c>
      <c r="B1303" s="58" t="s">
        <v>1752</v>
      </c>
      <c r="C1303" s="58" t="s">
        <v>1753</v>
      </c>
      <c r="D1303" s="59">
        <v>15</v>
      </c>
      <c r="E1303" s="59">
        <f>0+0</f>
        <v>0</v>
      </c>
      <c r="F1303" s="60">
        <v>34</v>
      </c>
      <c r="G1303" s="60">
        <v>5</v>
      </c>
      <c r="H1303" s="60">
        <v>367</v>
      </c>
      <c r="I1303" s="61">
        <f>H1303/(F1303-G1303)</f>
        <v>12.655172413793103</v>
      </c>
      <c r="J1303" s="60">
        <v>48</v>
      </c>
      <c r="K1303" s="62">
        <v>81.3</v>
      </c>
      <c r="L1303" s="62">
        <v>10</v>
      </c>
      <c r="M1303" s="62">
        <v>323</v>
      </c>
      <c r="N1303" s="63">
        <f>M1303/L1303</f>
        <v>32.299999999999997</v>
      </c>
      <c r="O1303" s="66" t="s">
        <v>1469</v>
      </c>
    </row>
    <row r="1304" spans="1:15" s="54" customFormat="1" x14ac:dyDescent="0.2">
      <c r="A1304" s="64">
        <v>1497106</v>
      </c>
      <c r="B1304" s="58" t="s">
        <v>1968</v>
      </c>
      <c r="C1304" s="58" t="s">
        <v>1969</v>
      </c>
      <c r="D1304" s="59">
        <v>8</v>
      </c>
      <c r="E1304" s="59">
        <f>0+0</f>
        <v>0</v>
      </c>
      <c r="F1304" s="60">
        <v>19</v>
      </c>
      <c r="G1304" s="60">
        <v>4</v>
      </c>
      <c r="H1304" s="60">
        <v>147</v>
      </c>
      <c r="I1304" s="61">
        <f>H1304/(F1304-G1304)</f>
        <v>9.8000000000000007</v>
      </c>
      <c r="J1304" s="60">
        <v>56</v>
      </c>
      <c r="K1304" s="62">
        <v>82</v>
      </c>
      <c r="L1304" s="62">
        <v>14</v>
      </c>
      <c r="M1304" s="62">
        <v>240</v>
      </c>
      <c r="N1304" s="63">
        <f>M1304/L1304</f>
        <v>17.142857142857142</v>
      </c>
      <c r="O1304" s="66" t="s">
        <v>1465</v>
      </c>
    </row>
    <row r="1305" spans="1:15" s="54" customFormat="1" x14ac:dyDescent="0.2">
      <c r="A1305" s="4">
        <v>2139535</v>
      </c>
      <c r="B1305" s="2" t="s">
        <v>2409</v>
      </c>
      <c r="C1305" s="2" t="s">
        <v>2410</v>
      </c>
      <c r="D1305" s="7">
        <f>2</f>
        <v>2</v>
      </c>
      <c r="E1305" s="7">
        <f>0</f>
        <v>0</v>
      </c>
      <c r="F1305" s="17">
        <f>9</f>
        <v>9</v>
      </c>
      <c r="G1305" s="17">
        <f>0</f>
        <v>0</v>
      </c>
      <c r="H1305" s="17">
        <f>96</f>
        <v>96</v>
      </c>
      <c r="I1305" s="16">
        <f>H1305/(F1305-G1305)</f>
        <v>10.666666666666666</v>
      </c>
      <c r="J1305" s="17">
        <v>38</v>
      </c>
      <c r="K1305" s="25">
        <f>7</f>
        <v>7</v>
      </c>
      <c r="L1305" s="25">
        <v>0</v>
      </c>
      <c r="M1305" s="25">
        <f>31</f>
        <v>31</v>
      </c>
      <c r="N1305" s="24" t="e">
        <f>M1305/L1305</f>
        <v>#DIV/0!</v>
      </c>
      <c r="O1305" s="49" t="s">
        <v>1508</v>
      </c>
    </row>
    <row r="1306" spans="1:15" s="54" customFormat="1" x14ac:dyDescent="0.2">
      <c r="A1306" s="64">
        <v>1242886</v>
      </c>
      <c r="B1306" s="58" t="s">
        <v>2222</v>
      </c>
      <c r="C1306" s="58" t="s">
        <v>2223</v>
      </c>
      <c r="D1306" s="59">
        <f>1+0+2</f>
        <v>3</v>
      </c>
      <c r="E1306" s="59">
        <v>0</v>
      </c>
      <c r="F1306" s="60">
        <f>9+6+12</f>
        <v>27</v>
      </c>
      <c r="G1306" s="60">
        <f>0+2+4</f>
        <v>6</v>
      </c>
      <c r="H1306" s="60">
        <f>70+40+114</f>
        <v>224</v>
      </c>
      <c r="I1306" s="61">
        <f>H1306/(F1306-G1306)</f>
        <v>10.666666666666666</v>
      </c>
      <c r="J1306" s="60">
        <v>24</v>
      </c>
      <c r="K1306" s="62">
        <f>70+83+110</f>
        <v>263</v>
      </c>
      <c r="L1306" s="62">
        <f>11+21+19</f>
        <v>51</v>
      </c>
      <c r="M1306" s="62">
        <f>238+192+393</f>
        <v>823</v>
      </c>
      <c r="N1306" s="63">
        <f>M1306/L1306</f>
        <v>16.137254901960784</v>
      </c>
      <c r="O1306" s="66" t="s">
        <v>2608</v>
      </c>
    </row>
    <row r="1307" spans="1:15" s="54" customFormat="1" x14ac:dyDescent="0.2">
      <c r="A1307" s="84">
        <v>1449362</v>
      </c>
      <c r="B1307" s="86" t="s">
        <v>1593</v>
      </c>
      <c r="C1307" s="2" t="s">
        <v>312</v>
      </c>
      <c r="D1307" s="7">
        <f>8+1</f>
        <v>9</v>
      </c>
      <c r="E1307" s="7">
        <f>0+2</f>
        <v>2</v>
      </c>
      <c r="F1307" s="17">
        <f>13+7</f>
        <v>20</v>
      </c>
      <c r="G1307" s="17">
        <f>5+1</f>
        <v>6</v>
      </c>
      <c r="H1307" s="17">
        <f>195+141</f>
        <v>336</v>
      </c>
      <c r="I1307" s="16">
        <f>H1307/(F1307-G1307)</f>
        <v>24</v>
      </c>
      <c r="J1307" s="17">
        <v>62</v>
      </c>
      <c r="K1307" s="25">
        <f>8+23</f>
        <v>31</v>
      </c>
      <c r="L1307" s="25">
        <f>1+2</f>
        <v>3</v>
      </c>
      <c r="M1307" s="25">
        <f>31+79</f>
        <v>110</v>
      </c>
      <c r="N1307" s="24">
        <f>M1307/L1307</f>
        <v>36.666666666666664</v>
      </c>
      <c r="O1307" s="49" t="s">
        <v>1503</v>
      </c>
    </row>
    <row r="1308" spans="1:15" s="54" customFormat="1" x14ac:dyDescent="0.2">
      <c r="A1308" s="84">
        <v>1890678</v>
      </c>
      <c r="B1308" s="2" t="s">
        <v>2224</v>
      </c>
      <c r="C1308" s="2" t="s">
        <v>2225</v>
      </c>
      <c r="D1308" s="7">
        <f>0</f>
        <v>0</v>
      </c>
      <c r="E1308" s="7"/>
      <c r="F1308" s="17">
        <f>1</f>
        <v>1</v>
      </c>
      <c r="G1308" s="17">
        <f>0</f>
        <v>0</v>
      </c>
      <c r="H1308" s="17">
        <f>0</f>
        <v>0</v>
      </c>
      <c r="I1308" s="16">
        <f>H1308/(F1308-G1308)</f>
        <v>0</v>
      </c>
      <c r="J1308" s="17">
        <v>0</v>
      </c>
      <c r="K1308" s="25"/>
      <c r="L1308" s="25"/>
      <c r="M1308" s="25"/>
      <c r="N1308" s="24" t="e">
        <f>M1308/L1308</f>
        <v>#DIV/0!</v>
      </c>
      <c r="O1308" s="23"/>
    </row>
    <row r="1309" spans="1:15" s="54" customFormat="1" x14ac:dyDescent="0.2">
      <c r="A1309" s="84">
        <v>1615380</v>
      </c>
      <c r="B1309" s="2" t="s">
        <v>1754</v>
      </c>
      <c r="C1309" s="2" t="s">
        <v>1755</v>
      </c>
      <c r="D1309" s="7">
        <f>0</f>
        <v>0</v>
      </c>
      <c r="E1309" s="7">
        <f>0</f>
        <v>0</v>
      </c>
      <c r="F1309" s="17">
        <f>2</f>
        <v>2</v>
      </c>
      <c r="G1309" s="17">
        <f>1</f>
        <v>1</v>
      </c>
      <c r="H1309" s="17">
        <f>37</f>
        <v>37</v>
      </c>
      <c r="I1309" s="16">
        <f>H1309/(F1309-G1309)</f>
        <v>37</v>
      </c>
      <c r="J1309" s="17" t="s">
        <v>428</v>
      </c>
      <c r="K1309" s="25">
        <f>4</f>
        <v>4</v>
      </c>
      <c r="L1309" s="25">
        <f>0</f>
        <v>0</v>
      </c>
      <c r="M1309" s="25">
        <f>15</f>
        <v>15</v>
      </c>
      <c r="N1309" s="24" t="e">
        <f>M1309/L1309</f>
        <v>#DIV/0!</v>
      </c>
      <c r="O1309" s="23"/>
    </row>
    <row r="1310" spans="1:15" s="54" customFormat="1" x14ac:dyDescent="0.2">
      <c r="A1310" s="4">
        <v>884350</v>
      </c>
      <c r="B1310" s="4" t="s">
        <v>1172</v>
      </c>
      <c r="C1310" s="2" t="s">
        <v>376</v>
      </c>
      <c r="D1310" s="7">
        <f>6+3+2+4</f>
        <v>15</v>
      </c>
      <c r="E1310" s="7">
        <f>0</f>
        <v>0</v>
      </c>
      <c r="F1310" s="17">
        <f>11+10+12+16</f>
        <v>49</v>
      </c>
      <c r="G1310" s="17">
        <f>3+2+5+3</f>
        <v>13</v>
      </c>
      <c r="H1310" s="17">
        <f>45+77+49+31</f>
        <v>202</v>
      </c>
      <c r="I1310" s="16">
        <f>H1310/(F1310-G1310)</f>
        <v>5.6111111111111107</v>
      </c>
      <c r="J1310" s="17">
        <v>24</v>
      </c>
      <c r="K1310" s="25">
        <f>29+102+116.4+155</f>
        <v>402.4</v>
      </c>
      <c r="L1310" s="25">
        <f>4+16+22+29</f>
        <v>71</v>
      </c>
      <c r="M1310" s="25">
        <f>132+396+429+606</f>
        <v>1563</v>
      </c>
      <c r="N1310" s="24">
        <f>M1310/L1310</f>
        <v>22.014084507042252</v>
      </c>
      <c r="O1310" s="49" t="s">
        <v>1458</v>
      </c>
    </row>
    <row r="1311" spans="1:15" s="54" customFormat="1" x14ac:dyDescent="0.2">
      <c r="A1311" s="4">
        <v>768161</v>
      </c>
      <c r="B1311" s="2" t="s">
        <v>2411</v>
      </c>
      <c r="C1311" s="2" t="s">
        <v>2412</v>
      </c>
      <c r="D1311" s="7">
        <f>0</f>
        <v>0</v>
      </c>
      <c r="E1311" s="7">
        <f>0</f>
        <v>0</v>
      </c>
      <c r="F1311" s="17">
        <f>2</f>
        <v>2</v>
      </c>
      <c r="G1311" s="17">
        <f>0</f>
        <v>0</v>
      </c>
      <c r="H1311" s="17">
        <f>35</f>
        <v>35</v>
      </c>
      <c r="I1311" s="16">
        <f>H1311/(F1311-G1311)</f>
        <v>17.5</v>
      </c>
      <c r="J1311" s="17">
        <v>19</v>
      </c>
      <c r="K1311" s="25"/>
      <c r="L1311" s="25"/>
      <c r="M1311" s="25"/>
      <c r="N1311" s="24" t="e">
        <f>M1311/L1311</f>
        <v>#DIV/0!</v>
      </c>
      <c r="O1311" s="23"/>
    </row>
    <row r="1312" spans="1:15" s="54" customFormat="1" x14ac:dyDescent="0.2">
      <c r="A1312" s="4"/>
      <c r="B1312" s="2" t="s">
        <v>1166</v>
      </c>
      <c r="C1312" s="2" t="s">
        <v>19</v>
      </c>
      <c r="D1312" s="7">
        <v>5</v>
      </c>
      <c r="E1312" s="7"/>
      <c r="F1312" s="17">
        <v>14</v>
      </c>
      <c r="G1312" s="17">
        <v>2</v>
      </c>
      <c r="H1312" s="17">
        <v>153</v>
      </c>
      <c r="I1312" s="16">
        <f>H1312/(F1312-G1312)</f>
        <v>12.75</v>
      </c>
      <c r="J1312" s="17">
        <v>48</v>
      </c>
      <c r="K1312" s="25">
        <v>21</v>
      </c>
      <c r="L1312" s="25">
        <v>5</v>
      </c>
      <c r="M1312" s="25">
        <v>45</v>
      </c>
      <c r="N1312" s="24">
        <f>M1312/L1312</f>
        <v>9</v>
      </c>
      <c r="O1312" s="23"/>
    </row>
    <row r="1313" spans="1:15" s="54" customFormat="1" x14ac:dyDescent="0.2">
      <c r="A1313" s="84">
        <v>1757555</v>
      </c>
      <c r="B1313" s="2" t="s">
        <v>1970</v>
      </c>
      <c r="C1313" s="2" t="s">
        <v>1971</v>
      </c>
      <c r="D1313" s="7">
        <f>3+2</f>
        <v>5</v>
      </c>
      <c r="E1313" s="7">
        <f>0+0</f>
        <v>0</v>
      </c>
      <c r="F1313" s="17">
        <f>10+9</f>
        <v>19</v>
      </c>
      <c r="G1313" s="17">
        <f>1+0</f>
        <v>1</v>
      </c>
      <c r="H1313" s="17">
        <f>115+230</f>
        <v>345</v>
      </c>
      <c r="I1313" s="16">
        <f>H1313/(F1313-G1313)</f>
        <v>19.166666666666668</v>
      </c>
      <c r="J1313" s="17">
        <v>72</v>
      </c>
      <c r="K1313" s="25">
        <f>3+16</f>
        <v>19</v>
      </c>
      <c r="L1313" s="25">
        <f>1+3</f>
        <v>4</v>
      </c>
      <c r="M1313" s="25">
        <f>10+59</f>
        <v>69</v>
      </c>
      <c r="N1313" s="24">
        <f>M1313/L1313</f>
        <v>17.25</v>
      </c>
      <c r="O1313" s="49" t="s">
        <v>2492</v>
      </c>
    </row>
    <row r="1314" spans="1:15" s="54" customFormat="1" x14ac:dyDescent="0.2">
      <c r="A1314" s="84">
        <v>1936646</v>
      </c>
      <c r="B1314" s="2" t="s">
        <v>2226</v>
      </c>
      <c r="C1314" s="2" t="s">
        <v>2227</v>
      </c>
      <c r="D1314" s="7">
        <f>1</f>
        <v>1</v>
      </c>
      <c r="E1314" s="7"/>
      <c r="F1314" s="17">
        <f>6</f>
        <v>6</v>
      </c>
      <c r="G1314" s="17">
        <f>2</f>
        <v>2</v>
      </c>
      <c r="H1314" s="17">
        <f>9</f>
        <v>9</v>
      </c>
      <c r="I1314" s="16">
        <f>H1314/(F1314-G1314)</f>
        <v>2.25</v>
      </c>
      <c r="J1314" s="17" t="s">
        <v>281</v>
      </c>
      <c r="K1314" s="25">
        <f>2</f>
        <v>2</v>
      </c>
      <c r="L1314" s="25">
        <f>0</f>
        <v>0</v>
      </c>
      <c r="M1314" s="25">
        <f>12</f>
        <v>12</v>
      </c>
      <c r="N1314" s="24" t="e">
        <f>M1314/L1314</f>
        <v>#DIV/0!</v>
      </c>
      <c r="O1314" s="23"/>
    </row>
    <row r="1315" spans="1:15" s="54" customFormat="1" x14ac:dyDescent="0.2">
      <c r="A1315" s="4"/>
      <c r="B1315" s="4" t="s">
        <v>1170</v>
      </c>
      <c r="C1315" s="2" t="s">
        <v>262</v>
      </c>
      <c r="D1315" s="7">
        <v>1</v>
      </c>
      <c r="E1315" s="7"/>
      <c r="F1315" s="17">
        <v>3</v>
      </c>
      <c r="G1315" s="17">
        <v>0</v>
      </c>
      <c r="H1315" s="17">
        <v>15</v>
      </c>
      <c r="I1315" s="16">
        <f>H1315/(F1315-G1315)</f>
        <v>5</v>
      </c>
      <c r="J1315" s="17">
        <v>12</v>
      </c>
      <c r="K1315" s="25">
        <v>16</v>
      </c>
      <c r="L1315" s="25">
        <v>0</v>
      </c>
      <c r="M1315" s="25">
        <v>78</v>
      </c>
      <c r="N1315" s="24" t="e">
        <f>M1315/L1315</f>
        <v>#DIV/0!</v>
      </c>
      <c r="O1315" s="23"/>
    </row>
    <row r="1316" spans="1:15" s="54" customFormat="1" x14ac:dyDescent="0.2">
      <c r="A1316" s="4">
        <v>2050500</v>
      </c>
      <c r="B1316" s="2" t="s">
        <v>2413</v>
      </c>
      <c r="C1316" s="2" t="s">
        <v>2414</v>
      </c>
      <c r="D1316" s="7">
        <f>0+0</f>
        <v>0</v>
      </c>
      <c r="E1316" s="7">
        <f>0+0</f>
        <v>0</v>
      </c>
      <c r="F1316" s="17">
        <f>14+8</f>
        <v>22</v>
      </c>
      <c r="G1316" s="17">
        <f>4+6</f>
        <v>10</v>
      </c>
      <c r="H1316" s="17">
        <f>23+23</f>
        <v>46</v>
      </c>
      <c r="I1316" s="16">
        <f>H1316/(F1316-G1316)</f>
        <v>3.8333333333333335</v>
      </c>
      <c r="J1316" s="17">
        <v>5</v>
      </c>
      <c r="K1316" s="25">
        <f>29+20</f>
        <v>49</v>
      </c>
      <c r="L1316" s="25">
        <f>5+5</f>
        <v>10</v>
      </c>
      <c r="M1316" s="25">
        <f>148+97</f>
        <v>245</v>
      </c>
      <c r="N1316" s="24">
        <f>M1316/L1316</f>
        <v>24.5</v>
      </c>
      <c r="O1316" s="49" t="s">
        <v>1799</v>
      </c>
    </row>
    <row r="1317" spans="1:15" s="54" customFormat="1" x14ac:dyDescent="0.2">
      <c r="A1317" s="84">
        <v>1938292</v>
      </c>
      <c r="B1317" s="2" t="s">
        <v>2228</v>
      </c>
      <c r="C1317" s="2" t="s">
        <v>2229</v>
      </c>
      <c r="D1317" s="7">
        <f>1</f>
        <v>1</v>
      </c>
      <c r="E1317" s="7"/>
      <c r="F1317" s="17">
        <f>6</f>
        <v>6</v>
      </c>
      <c r="G1317" s="17">
        <f>2</f>
        <v>2</v>
      </c>
      <c r="H1317" s="17">
        <f>3</f>
        <v>3</v>
      </c>
      <c r="I1317" s="16">
        <f>H1317/(F1317-G1317)</f>
        <v>0.75</v>
      </c>
      <c r="J1317" s="17">
        <v>2</v>
      </c>
      <c r="K1317" s="25">
        <f>8</f>
        <v>8</v>
      </c>
      <c r="L1317" s="25">
        <f>3</f>
        <v>3</v>
      </c>
      <c r="M1317" s="25">
        <f>31</f>
        <v>31</v>
      </c>
      <c r="N1317" s="24">
        <f>M1317/L1317</f>
        <v>10.333333333333334</v>
      </c>
      <c r="O1317" s="49" t="s">
        <v>2035</v>
      </c>
    </row>
    <row r="1318" spans="1:15" s="54" customFormat="1" x14ac:dyDescent="0.2">
      <c r="A1318" s="4">
        <v>1016081</v>
      </c>
      <c r="B1318" s="2" t="s">
        <v>1173</v>
      </c>
      <c r="C1318" s="2" t="s">
        <v>377</v>
      </c>
      <c r="D1318" s="7">
        <f>1+1</f>
        <v>2</v>
      </c>
      <c r="E1318" s="7">
        <f>0</f>
        <v>0</v>
      </c>
      <c r="F1318" s="17">
        <f>5+6</f>
        <v>11</v>
      </c>
      <c r="G1318" s="17">
        <f>1+1</f>
        <v>2</v>
      </c>
      <c r="H1318" s="17">
        <f>10+12</f>
        <v>22</v>
      </c>
      <c r="I1318" s="16">
        <f>H1318/(F1318-G1318)</f>
        <v>2.4444444444444446</v>
      </c>
      <c r="J1318" s="17">
        <v>5</v>
      </c>
      <c r="K1318" s="25"/>
      <c r="L1318" s="25"/>
      <c r="M1318" s="25"/>
      <c r="N1318" s="24" t="e">
        <f>M1318/L1318</f>
        <v>#DIV/0!</v>
      </c>
      <c r="O1318" s="23"/>
    </row>
    <row r="1319" spans="1:15" s="54" customFormat="1" x14ac:dyDescent="0.2">
      <c r="A1319" s="4">
        <v>2097062</v>
      </c>
      <c r="B1319" s="2" t="s">
        <v>2415</v>
      </c>
      <c r="C1319" s="2" t="s">
        <v>2416</v>
      </c>
      <c r="D1319" s="7">
        <f>1</f>
        <v>1</v>
      </c>
      <c r="E1319" s="7">
        <f>0</f>
        <v>0</v>
      </c>
      <c r="F1319" s="17">
        <f>9</f>
        <v>9</v>
      </c>
      <c r="G1319" s="17">
        <f>0</f>
        <v>0</v>
      </c>
      <c r="H1319" s="17">
        <f>90</f>
        <v>90</v>
      </c>
      <c r="I1319" s="16">
        <f>H1319/(F1319-G1319)</f>
        <v>10</v>
      </c>
      <c r="J1319" s="17">
        <v>32</v>
      </c>
      <c r="K1319" s="25"/>
      <c r="L1319" s="25"/>
      <c r="M1319" s="25"/>
      <c r="N1319" s="24" t="e">
        <f>M1319/L1319</f>
        <v>#DIV/0!</v>
      </c>
      <c r="O1319" s="23"/>
    </row>
    <row r="1320" spans="1:15" s="54" customFormat="1" x14ac:dyDescent="0.2">
      <c r="A1320" s="84">
        <v>1044553</v>
      </c>
      <c r="B1320" s="2" t="s">
        <v>1760</v>
      </c>
      <c r="C1320" s="2" t="s">
        <v>1761</v>
      </c>
      <c r="D1320" s="7">
        <f>0+0+0</f>
        <v>0</v>
      </c>
      <c r="E1320" s="7">
        <f>0+0</f>
        <v>0</v>
      </c>
      <c r="F1320" s="17">
        <f>5+6+5</f>
        <v>16</v>
      </c>
      <c r="G1320" s="17">
        <f>1+5+2</f>
        <v>8</v>
      </c>
      <c r="H1320" s="17">
        <f>23+24+26</f>
        <v>73</v>
      </c>
      <c r="I1320" s="16">
        <f>H1320/(F1320-G1320)</f>
        <v>9.125</v>
      </c>
      <c r="J1320" s="17" t="s">
        <v>364</v>
      </c>
      <c r="K1320" s="25">
        <f>59+56+19</f>
        <v>134</v>
      </c>
      <c r="L1320" s="25">
        <f>8+10+4</f>
        <v>22</v>
      </c>
      <c r="M1320" s="25">
        <f>157+159+61</f>
        <v>377</v>
      </c>
      <c r="N1320" s="24">
        <f>M1320/L1320</f>
        <v>17.136363636363637</v>
      </c>
      <c r="O1320" s="49" t="s">
        <v>2035</v>
      </c>
    </row>
    <row r="1321" spans="1:15" s="54" customFormat="1" x14ac:dyDescent="0.2">
      <c r="A1321" s="84">
        <v>1299139</v>
      </c>
      <c r="B1321" s="2" t="s">
        <v>1756</v>
      </c>
      <c r="C1321" s="2" t="s">
        <v>1757</v>
      </c>
      <c r="D1321" s="7">
        <f>0+2+0</f>
        <v>2</v>
      </c>
      <c r="E1321" s="7">
        <f>0+0</f>
        <v>0</v>
      </c>
      <c r="F1321" s="17">
        <f>11+14+10</f>
        <v>35</v>
      </c>
      <c r="G1321" s="17">
        <f>2+2+1</f>
        <v>5</v>
      </c>
      <c r="H1321" s="17">
        <f>188+204+199</f>
        <v>591</v>
      </c>
      <c r="I1321" s="16">
        <f>H1321/(F1321-G1321)</f>
        <v>19.7</v>
      </c>
      <c r="J1321" s="17">
        <v>77</v>
      </c>
      <c r="K1321" s="25">
        <f>36+15.5+17</f>
        <v>68.5</v>
      </c>
      <c r="L1321" s="25">
        <f>10+2+1</f>
        <v>13</v>
      </c>
      <c r="M1321" s="25">
        <f>179+59+74</f>
        <v>312</v>
      </c>
      <c r="N1321" s="24">
        <f>M1321/L1321</f>
        <v>24</v>
      </c>
      <c r="O1321" s="49" t="s">
        <v>1807</v>
      </c>
    </row>
    <row r="1322" spans="1:15" s="54" customFormat="1" x14ac:dyDescent="0.2">
      <c r="A1322" s="64">
        <v>1722308</v>
      </c>
      <c r="B1322" s="58" t="s">
        <v>2601</v>
      </c>
      <c r="C1322" s="58" t="s">
        <v>2602</v>
      </c>
      <c r="D1322" s="59">
        <f>2+4</f>
        <v>6</v>
      </c>
      <c r="E1322" s="59">
        <v>0</v>
      </c>
      <c r="F1322" s="60">
        <f>7+10</f>
        <v>17</v>
      </c>
      <c r="G1322" s="60">
        <f>1+1</f>
        <v>2</v>
      </c>
      <c r="H1322" s="60">
        <f>87+83</f>
        <v>170</v>
      </c>
      <c r="I1322" s="61">
        <f>H1322/(F1322-G1322)</f>
        <v>11.333333333333334</v>
      </c>
      <c r="J1322" s="60">
        <v>70</v>
      </c>
      <c r="K1322" s="62">
        <f>62.2+72.2</f>
        <v>134.4</v>
      </c>
      <c r="L1322" s="62">
        <f>10+15</f>
        <v>25</v>
      </c>
      <c r="M1322" s="62">
        <f>204+202</f>
        <v>406</v>
      </c>
      <c r="N1322" s="63">
        <f>M1322/L1322</f>
        <v>16.239999999999998</v>
      </c>
      <c r="O1322" s="66" t="s">
        <v>1471</v>
      </c>
    </row>
    <row r="1323" spans="1:15" s="54" customFormat="1" x14ac:dyDescent="0.2">
      <c r="A1323" s="84">
        <v>1054460</v>
      </c>
      <c r="B1323" s="2" t="s">
        <v>2230</v>
      </c>
      <c r="C1323" s="2" t="s">
        <v>2231</v>
      </c>
      <c r="D1323" s="7">
        <f>1</f>
        <v>1</v>
      </c>
      <c r="E1323" s="7"/>
      <c r="F1323" s="17">
        <f>4</f>
        <v>4</v>
      </c>
      <c r="G1323" s="17">
        <f>1</f>
        <v>1</v>
      </c>
      <c r="H1323" s="17">
        <f>2</f>
        <v>2</v>
      </c>
      <c r="I1323" s="16">
        <f>H1323/(F1323-G1323)</f>
        <v>0.66666666666666663</v>
      </c>
      <c r="J1323" s="17" t="s">
        <v>276</v>
      </c>
      <c r="K1323" s="25">
        <f>26</f>
        <v>26</v>
      </c>
      <c r="L1323" s="25">
        <f>5</f>
        <v>5</v>
      </c>
      <c r="M1323" s="25">
        <f>78</f>
        <v>78</v>
      </c>
      <c r="N1323" s="24">
        <f>M1323/L1323</f>
        <v>15.6</v>
      </c>
      <c r="O1323" s="49" t="s">
        <v>2270</v>
      </c>
    </row>
    <row r="1324" spans="1:15" s="54" customFormat="1" x14ac:dyDescent="0.2">
      <c r="A1324" s="84">
        <v>1758364</v>
      </c>
      <c r="B1324" s="2" t="s">
        <v>1972</v>
      </c>
      <c r="C1324" s="2" t="s">
        <v>1973</v>
      </c>
      <c r="D1324" s="7">
        <f>0</f>
        <v>0</v>
      </c>
      <c r="E1324" s="7">
        <f>0</f>
        <v>0</v>
      </c>
      <c r="F1324" s="17">
        <f>3</f>
        <v>3</v>
      </c>
      <c r="G1324" s="17">
        <f>0</f>
        <v>0</v>
      </c>
      <c r="H1324" s="17">
        <f>3</f>
        <v>3</v>
      </c>
      <c r="I1324" s="16">
        <f>H1324/(F1324-G1324)</f>
        <v>1</v>
      </c>
      <c r="J1324" s="17">
        <v>3</v>
      </c>
      <c r="K1324" s="25">
        <f>21</f>
        <v>21</v>
      </c>
      <c r="L1324" s="25">
        <f>4</f>
        <v>4</v>
      </c>
      <c r="M1324" s="25">
        <f>51</f>
        <v>51</v>
      </c>
      <c r="N1324" s="24">
        <f>M1324/L1324</f>
        <v>12.75</v>
      </c>
      <c r="O1324" s="49" t="s">
        <v>2036</v>
      </c>
    </row>
    <row r="1325" spans="1:15" s="54" customFormat="1" x14ac:dyDescent="0.2">
      <c r="A1325" s="84">
        <v>659862</v>
      </c>
      <c r="B1325" s="2" t="s">
        <v>1758</v>
      </c>
      <c r="C1325" s="2" t="s">
        <v>1759</v>
      </c>
      <c r="D1325" s="7">
        <f>0+0+0</f>
        <v>0</v>
      </c>
      <c r="E1325" s="7">
        <f>0+0</f>
        <v>0</v>
      </c>
      <c r="F1325" s="17">
        <f>1+5+4</f>
        <v>10</v>
      </c>
      <c r="G1325" s="17">
        <f>0+0+0</f>
        <v>0</v>
      </c>
      <c r="H1325" s="17">
        <f>11+42+12</f>
        <v>65</v>
      </c>
      <c r="I1325" s="16">
        <f>H1325/(F1325-G1325)</f>
        <v>6.5</v>
      </c>
      <c r="J1325" s="17">
        <v>19</v>
      </c>
      <c r="K1325" s="25">
        <f>3+29+18</f>
        <v>50</v>
      </c>
      <c r="L1325" s="25">
        <f>0+1+3</f>
        <v>4</v>
      </c>
      <c r="M1325" s="25">
        <f>26+97+62</f>
        <v>185</v>
      </c>
      <c r="N1325" s="24">
        <f>M1325/L1325</f>
        <v>46.25</v>
      </c>
      <c r="O1325" s="49" t="s">
        <v>2285</v>
      </c>
    </row>
    <row r="1326" spans="1:15" s="54" customFormat="1" x14ac:dyDescent="0.2">
      <c r="A1326" s="84">
        <v>1749443</v>
      </c>
      <c r="B1326" s="2" t="s">
        <v>2232</v>
      </c>
      <c r="C1326" s="2" t="s">
        <v>2233</v>
      </c>
      <c r="D1326" s="7">
        <f>1+3+4</f>
        <v>8</v>
      </c>
      <c r="E1326" s="7">
        <f>0+0</f>
        <v>0</v>
      </c>
      <c r="F1326" s="17">
        <f>6+9+10</f>
        <v>25</v>
      </c>
      <c r="G1326" s="17">
        <f>5+1+1</f>
        <v>7</v>
      </c>
      <c r="H1326" s="17">
        <f>82+55+86</f>
        <v>223</v>
      </c>
      <c r="I1326" s="16">
        <f>H1326/(F1326-G1326)</f>
        <v>12.388888888888889</v>
      </c>
      <c r="J1326" s="17">
        <v>25</v>
      </c>
      <c r="K1326" s="25">
        <f>16.1+10.3+38</f>
        <v>64.400000000000006</v>
      </c>
      <c r="L1326" s="25">
        <f>5+1+6</f>
        <v>12</v>
      </c>
      <c r="M1326" s="25">
        <f>24+61+108</f>
        <v>193</v>
      </c>
      <c r="N1326" s="24">
        <f>M1326/L1326</f>
        <v>16.083333333333332</v>
      </c>
      <c r="O1326" s="49" t="s">
        <v>2278</v>
      </c>
    </row>
    <row r="1327" spans="1:15" s="54" customFormat="1" x14ac:dyDescent="0.2">
      <c r="A1327" s="64">
        <v>1299169</v>
      </c>
      <c r="B1327" s="58" t="s">
        <v>2597</v>
      </c>
      <c r="C1327" s="58" t="s">
        <v>2598</v>
      </c>
      <c r="D1327" s="59">
        <f>1+5</f>
        <v>6</v>
      </c>
      <c r="E1327" s="59">
        <v>0</v>
      </c>
      <c r="F1327" s="60">
        <f>7+1+13</f>
        <v>21</v>
      </c>
      <c r="G1327" s="60">
        <f>3+1</f>
        <v>4</v>
      </c>
      <c r="H1327" s="60">
        <f>147+246</f>
        <v>393</v>
      </c>
      <c r="I1327" s="61">
        <f>H1327/(F1327-G1327)</f>
        <v>23.117647058823529</v>
      </c>
      <c r="J1327" s="60">
        <v>72</v>
      </c>
      <c r="K1327" s="62">
        <f>6+4+61</f>
        <v>71</v>
      </c>
      <c r="L1327" s="62">
        <f>1+12</f>
        <v>13</v>
      </c>
      <c r="M1327" s="62">
        <f>24+21+165</f>
        <v>210</v>
      </c>
      <c r="N1327" s="63">
        <f>M1327/L1327</f>
        <v>16.153846153846153</v>
      </c>
      <c r="O1327" s="66" t="s">
        <v>2285</v>
      </c>
    </row>
    <row r="1328" spans="1:15" s="54" customFormat="1" x14ac:dyDescent="0.2">
      <c r="A1328" s="4"/>
      <c r="B1328" s="2" t="s">
        <v>1167</v>
      </c>
      <c r="C1328" s="2" t="s">
        <v>17</v>
      </c>
      <c r="D1328" s="7"/>
      <c r="E1328" s="7"/>
      <c r="F1328" s="17">
        <v>7</v>
      </c>
      <c r="G1328" s="17">
        <v>1</v>
      </c>
      <c r="H1328" s="17">
        <v>32</v>
      </c>
      <c r="I1328" s="16">
        <f>H1328/(F1328-G1328)</f>
        <v>5.333333333333333</v>
      </c>
      <c r="J1328" s="17">
        <v>20</v>
      </c>
      <c r="K1328" s="25">
        <v>7</v>
      </c>
      <c r="L1328" s="25">
        <v>1</v>
      </c>
      <c r="M1328" s="25">
        <v>31</v>
      </c>
      <c r="N1328" s="24">
        <f>M1328/L1328</f>
        <v>31</v>
      </c>
      <c r="O1328" s="23"/>
    </row>
    <row r="1329" spans="1:15" s="54" customFormat="1" x14ac:dyDescent="0.2">
      <c r="A1329" s="4">
        <v>2272830</v>
      </c>
      <c r="B1329" s="2" t="s">
        <v>2498</v>
      </c>
      <c r="C1329" s="2" t="s">
        <v>2499</v>
      </c>
      <c r="D1329" s="7">
        <v>0</v>
      </c>
      <c r="E1329" s="7">
        <v>0</v>
      </c>
      <c r="F1329" s="17">
        <v>6</v>
      </c>
      <c r="G1329" s="17">
        <v>0</v>
      </c>
      <c r="H1329" s="17">
        <v>98</v>
      </c>
      <c r="I1329" s="16">
        <f>H1329/(F1329-G1329)</f>
        <v>16.333333333333332</v>
      </c>
      <c r="J1329" s="17">
        <v>36</v>
      </c>
      <c r="K1329" s="25">
        <v>5</v>
      </c>
      <c r="L1329" s="25">
        <v>3</v>
      </c>
      <c r="M1329" s="25">
        <v>39</v>
      </c>
      <c r="N1329" s="24">
        <f>M1329/L1329</f>
        <v>13</v>
      </c>
      <c r="O1329" s="49" t="s">
        <v>2500</v>
      </c>
    </row>
    <row r="1330" spans="1:15" s="54" customFormat="1" x14ac:dyDescent="0.2">
      <c r="A1330" s="57">
        <v>2233703</v>
      </c>
      <c r="B1330" s="58" t="s">
        <v>2609</v>
      </c>
      <c r="C1330" s="58" t="s">
        <v>2610</v>
      </c>
      <c r="D1330" s="59">
        <v>0</v>
      </c>
      <c r="E1330" s="59">
        <v>0</v>
      </c>
      <c r="F1330" s="60">
        <f>7+1+8</f>
        <v>16</v>
      </c>
      <c r="G1330" s="60">
        <f>2+2</f>
        <v>4</v>
      </c>
      <c r="H1330" s="60">
        <f>21+8+33</f>
        <v>62</v>
      </c>
      <c r="I1330" s="61">
        <f>H1330/(F1330-G1330)</f>
        <v>5.166666666666667</v>
      </c>
      <c r="J1330" s="60">
        <v>17</v>
      </c>
      <c r="K1330" s="62">
        <v>0</v>
      </c>
      <c r="L1330" s="62">
        <v>0</v>
      </c>
      <c r="M1330" s="62">
        <v>0</v>
      </c>
      <c r="N1330" s="63" t="e">
        <f>M1330/L1330</f>
        <v>#DIV/0!</v>
      </c>
      <c r="O1330" s="66"/>
    </row>
    <row r="1331" spans="1:15" s="54" customFormat="1" x14ac:dyDescent="0.2">
      <c r="A1331" s="64">
        <v>1756739</v>
      </c>
      <c r="B1331" s="58" t="s">
        <v>1974</v>
      </c>
      <c r="C1331" s="58" t="s">
        <v>1975</v>
      </c>
      <c r="D1331" s="59">
        <f>3+3+1+4+1</f>
        <v>12</v>
      </c>
      <c r="E1331" s="59">
        <f>0+0</f>
        <v>0</v>
      </c>
      <c r="F1331" s="60">
        <f>55+4</f>
        <v>59</v>
      </c>
      <c r="G1331" s="60">
        <v>20</v>
      </c>
      <c r="H1331" s="60">
        <f>321+28</f>
        <v>349</v>
      </c>
      <c r="I1331" s="61">
        <f>H1331/(F1331-G1331)</f>
        <v>8.9487179487179489</v>
      </c>
      <c r="J1331" s="60" t="s">
        <v>437</v>
      </c>
      <c r="K1331" s="62">
        <f>498.2+42</f>
        <v>540.20000000000005</v>
      </c>
      <c r="L1331" s="62">
        <f>117+11</f>
        <v>128</v>
      </c>
      <c r="M1331" s="62">
        <f>356+355+332+275+129+99</f>
        <v>1546</v>
      </c>
      <c r="N1331" s="63">
        <f>M1331/L1331</f>
        <v>12.078125</v>
      </c>
      <c r="O1331" s="66" t="s">
        <v>2034</v>
      </c>
    </row>
    <row r="1332" spans="1:15" s="54" customFormat="1" x14ac:dyDescent="0.2">
      <c r="A1332" s="57"/>
      <c r="B1332" s="58" t="s">
        <v>2675</v>
      </c>
      <c r="C1332" s="58" t="s">
        <v>2502</v>
      </c>
      <c r="D1332" s="59">
        <v>0</v>
      </c>
      <c r="E1332" s="59"/>
      <c r="F1332" s="60">
        <v>1</v>
      </c>
      <c r="G1332" s="60">
        <v>0</v>
      </c>
      <c r="H1332" s="60">
        <v>1</v>
      </c>
      <c r="I1332" s="61">
        <f>H1332/(F1332-G1332)</f>
        <v>1</v>
      </c>
      <c r="J1332" s="60">
        <v>1</v>
      </c>
      <c r="K1332" s="62">
        <v>3</v>
      </c>
      <c r="L1332" s="62">
        <v>1</v>
      </c>
      <c r="M1332" s="62">
        <v>11</v>
      </c>
      <c r="N1332" s="63">
        <f>M1332/L1332</f>
        <v>11</v>
      </c>
      <c r="O1332" s="66" t="s">
        <v>1640</v>
      </c>
    </row>
    <row r="1333" spans="1:15" s="54" customFormat="1" x14ac:dyDescent="0.2">
      <c r="A1333" s="57"/>
      <c r="B1333" s="69" t="s">
        <v>2660</v>
      </c>
      <c r="C1333" s="58" t="s">
        <v>50</v>
      </c>
      <c r="D1333" s="59">
        <v>3</v>
      </c>
      <c r="E1333" s="59"/>
      <c r="F1333" s="60">
        <v>10</v>
      </c>
      <c r="G1333" s="60">
        <v>2</v>
      </c>
      <c r="H1333" s="60">
        <v>41</v>
      </c>
      <c r="I1333" s="61">
        <f>H1333/(F1333-G1333)</f>
        <v>5.125</v>
      </c>
      <c r="J1333" s="60">
        <v>18</v>
      </c>
      <c r="K1333" s="62">
        <v>37.200000000000003</v>
      </c>
      <c r="L1333" s="62">
        <v>10</v>
      </c>
      <c r="M1333" s="62">
        <v>162</v>
      </c>
      <c r="N1333" s="63">
        <f>M1333/L1333</f>
        <v>16.2</v>
      </c>
      <c r="O1333" s="66" t="s">
        <v>2661</v>
      </c>
    </row>
    <row r="1334" spans="1:15" s="54" customFormat="1" x14ac:dyDescent="0.2">
      <c r="A1334" s="57">
        <v>2076827</v>
      </c>
      <c r="B1334" s="58" t="s">
        <v>2417</v>
      </c>
      <c r="C1334" s="58" t="s">
        <v>2418</v>
      </c>
      <c r="D1334" s="59">
        <f>4</f>
        <v>4</v>
      </c>
      <c r="E1334" s="59">
        <f>0</f>
        <v>0</v>
      </c>
      <c r="F1334" s="60">
        <f>12</f>
        <v>12</v>
      </c>
      <c r="G1334" s="60">
        <f>2</f>
        <v>2</v>
      </c>
      <c r="H1334" s="60">
        <f>17+5</f>
        <v>22</v>
      </c>
      <c r="I1334" s="61">
        <f>H1334/(F1334-G1334)</f>
        <v>2.2000000000000002</v>
      </c>
      <c r="J1334" s="60">
        <v>6</v>
      </c>
      <c r="K1334" s="62">
        <f>60.3+15</f>
        <v>75.3</v>
      </c>
      <c r="L1334" s="62">
        <f>12+2</f>
        <v>14</v>
      </c>
      <c r="M1334" s="62">
        <f>229+48</f>
        <v>277</v>
      </c>
      <c r="N1334" s="63">
        <f>M1334/L1334</f>
        <v>19.785714285714285</v>
      </c>
      <c r="O1334" s="66" t="s">
        <v>1810</v>
      </c>
    </row>
    <row r="1335" spans="1:15" s="54" customFormat="1" x14ac:dyDescent="0.2">
      <c r="A1335" s="84">
        <v>1608105</v>
      </c>
      <c r="B1335" s="2" t="s">
        <v>1762</v>
      </c>
      <c r="C1335" s="2" t="s">
        <v>1763</v>
      </c>
      <c r="D1335" s="7">
        <f>7+5+2</f>
        <v>14</v>
      </c>
      <c r="E1335" s="7">
        <f>0+0</f>
        <v>0</v>
      </c>
      <c r="F1335" s="17">
        <f>14+6</f>
        <v>20</v>
      </c>
      <c r="G1335" s="17">
        <f>3+1</f>
        <v>4</v>
      </c>
      <c r="H1335" s="17">
        <f>251+182</f>
        <v>433</v>
      </c>
      <c r="I1335" s="16">
        <f>H1335/(F1335-G1335)</f>
        <v>27.0625</v>
      </c>
      <c r="J1335" s="17">
        <v>53</v>
      </c>
      <c r="K1335" s="25">
        <f>9.4+5</f>
        <v>14.4</v>
      </c>
      <c r="L1335" s="25">
        <f>6+3</f>
        <v>9</v>
      </c>
      <c r="M1335" s="25">
        <f>27+20</f>
        <v>47</v>
      </c>
      <c r="N1335" s="24">
        <f>M1335/L1335</f>
        <v>5.2222222222222223</v>
      </c>
      <c r="O1335" s="49" t="s">
        <v>1813</v>
      </c>
    </row>
    <row r="1336" spans="1:15" s="54" customFormat="1" x14ac:dyDescent="0.2">
      <c r="A1336" s="84">
        <v>1910456</v>
      </c>
      <c r="B1336" s="2" t="s">
        <v>1762</v>
      </c>
      <c r="C1336" s="2" t="s">
        <v>1763</v>
      </c>
      <c r="D1336" s="7">
        <f>1</f>
        <v>1</v>
      </c>
      <c r="E1336" s="7"/>
      <c r="F1336" s="17">
        <f>11</f>
        <v>11</v>
      </c>
      <c r="G1336" s="17">
        <f>1</f>
        <v>1</v>
      </c>
      <c r="H1336" s="17">
        <f>140</f>
        <v>140</v>
      </c>
      <c r="I1336" s="16">
        <f>H1336/(F1336-G1336)</f>
        <v>14</v>
      </c>
      <c r="J1336" s="17">
        <v>47</v>
      </c>
      <c r="K1336" s="25"/>
      <c r="L1336" s="25"/>
      <c r="M1336" s="25"/>
      <c r="N1336" s="24" t="e">
        <f>M1336/L1336</f>
        <v>#DIV/0!</v>
      </c>
      <c r="O1336" s="23"/>
    </row>
    <row r="1337" spans="1:15" s="54" customFormat="1" x14ac:dyDescent="0.2">
      <c r="A1337" s="4"/>
      <c r="B1337" s="4" t="s">
        <v>1171</v>
      </c>
      <c r="C1337" s="2" t="s">
        <v>263</v>
      </c>
      <c r="D1337" s="7">
        <f>2+2</f>
        <v>4</v>
      </c>
      <c r="E1337" s="7"/>
      <c r="F1337" s="17">
        <f>15+15</f>
        <v>30</v>
      </c>
      <c r="G1337" s="17">
        <f>2+0</f>
        <v>2</v>
      </c>
      <c r="H1337" s="17">
        <f>112+73</f>
        <v>185</v>
      </c>
      <c r="I1337" s="16">
        <f>H1337/(F1337-G1337)</f>
        <v>6.6071428571428568</v>
      </c>
      <c r="J1337" s="17">
        <v>42</v>
      </c>
      <c r="K1337" s="25">
        <f>110+95.5</f>
        <v>205.5</v>
      </c>
      <c r="L1337" s="25">
        <f>27+20</f>
        <v>47</v>
      </c>
      <c r="M1337" s="25">
        <f>388+352</f>
        <v>740</v>
      </c>
      <c r="N1337" s="24">
        <f>M1337/L1337</f>
        <v>15.74468085106383</v>
      </c>
      <c r="O1337" s="23"/>
    </row>
    <row r="1338" spans="1:15" s="54" customFormat="1" x14ac:dyDescent="0.2">
      <c r="A1338" s="84">
        <v>1725010</v>
      </c>
      <c r="B1338" s="2" t="s">
        <v>1976</v>
      </c>
      <c r="C1338" s="2" t="s">
        <v>1977</v>
      </c>
      <c r="D1338" s="7">
        <f>0+1+1+0</f>
        <v>2</v>
      </c>
      <c r="E1338" s="7">
        <f>0</f>
        <v>0</v>
      </c>
      <c r="F1338" s="17">
        <f>2+14+11</f>
        <v>27</v>
      </c>
      <c r="G1338" s="17">
        <f>0+8+0</f>
        <v>8</v>
      </c>
      <c r="H1338" s="17">
        <f>9+175+24</f>
        <v>208</v>
      </c>
      <c r="I1338" s="16">
        <f>H1338/(F1338-G1338)</f>
        <v>10.947368421052632</v>
      </c>
      <c r="J1338" s="17">
        <v>20</v>
      </c>
      <c r="K1338" s="25">
        <f>6+45+41.4</f>
        <v>92.4</v>
      </c>
      <c r="L1338" s="25">
        <f>5+15+5</f>
        <v>25</v>
      </c>
      <c r="M1338" s="25">
        <f>21+198+157</f>
        <v>376</v>
      </c>
      <c r="N1338" s="24">
        <f>M1338/L1338</f>
        <v>15.04</v>
      </c>
      <c r="O1338" s="49" t="s">
        <v>1464</v>
      </c>
    </row>
    <row r="1339" spans="1:15" s="54" customFormat="1" x14ac:dyDescent="0.2">
      <c r="A1339" s="4">
        <v>1422224</v>
      </c>
      <c r="B1339" s="2" t="s">
        <v>2419</v>
      </c>
      <c r="C1339" s="2" t="s">
        <v>2420</v>
      </c>
      <c r="D1339" s="7">
        <f>9+0</f>
        <v>9</v>
      </c>
      <c r="E1339" s="7">
        <f>0+0</f>
        <v>0</v>
      </c>
      <c r="F1339" s="17">
        <f>21+2</f>
        <v>23</v>
      </c>
      <c r="G1339" s="17">
        <f>1+0</f>
        <v>1</v>
      </c>
      <c r="H1339" s="17">
        <f>234+9</f>
        <v>243</v>
      </c>
      <c r="I1339" s="16">
        <f>H1339/(F1339-G1339)</f>
        <v>11.045454545454545</v>
      </c>
      <c r="J1339" s="17" t="s">
        <v>415</v>
      </c>
      <c r="K1339" s="25">
        <f>111.1+15</f>
        <v>126.1</v>
      </c>
      <c r="L1339" s="25">
        <f>23+5</f>
        <v>28</v>
      </c>
      <c r="M1339" s="25">
        <f>238+38</f>
        <v>276</v>
      </c>
      <c r="N1339" s="24">
        <f>M1339/L1339</f>
        <v>9.8571428571428577</v>
      </c>
      <c r="O1339" s="49" t="s">
        <v>1617</v>
      </c>
    </row>
    <row r="1340" spans="1:15" s="54" customFormat="1" x14ac:dyDescent="0.2">
      <c r="A1340" s="4">
        <v>2086183</v>
      </c>
      <c r="B1340" s="2" t="s">
        <v>2419</v>
      </c>
      <c r="C1340" s="2" t="s">
        <v>2420</v>
      </c>
      <c r="D1340" s="7">
        <v>0</v>
      </c>
      <c r="E1340" s="7">
        <v>0</v>
      </c>
      <c r="F1340" s="17">
        <v>9</v>
      </c>
      <c r="G1340" s="17">
        <v>9</v>
      </c>
      <c r="H1340" s="17">
        <v>20</v>
      </c>
      <c r="I1340" s="16" t="e">
        <f>H1340/(F1340-G1340)</f>
        <v>#DIV/0!</v>
      </c>
      <c r="J1340" s="17" t="s">
        <v>281</v>
      </c>
      <c r="K1340" s="25">
        <v>29.5</v>
      </c>
      <c r="L1340" s="25">
        <v>4</v>
      </c>
      <c r="M1340" s="25">
        <v>54</v>
      </c>
      <c r="N1340" s="24">
        <f>M1340/L1340</f>
        <v>13.5</v>
      </c>
      <c r="O1340" s="49" t="s">
        <v>1355</v>
      </c>
    </row>
    <row r="1341" spans="1:15" s="54" customFormat="1" x14ac:dyDescent="0.2">
      <c r="A1341" s="84">
        <v>1449374</v>
      </c>
      <c r="B1341" s="86" t="s">
        <v>1594</v>
      </c>
      <c r="C1341" s="2" t="s">
        <v>1595</v>
      </c>
      <c r="D1341" s="7">
        <f>0</f>
        <v>0</v>
      </c>
      <c r="E1341" s="7">
        <f>0</f>
        <v>0</v>
      </c>
      <c r="F1341" s="17">
        <f>3</f>
        <v>3</v>
      </c>
      <c r="G1341" s="17">
        <f>0</f>
        <v>0</v>
      </c>
      <c r="H1341" s="17">
        <f>35</f>
        <v>35</v>
      </c>
      <c r="I1341" s="16">
        <f>H1341/(F1341-G1341)</f>
        <v>11.666666666666666</v>
      </c>
      <c r="J1341" s="17">
        <v>30</v>
      </c>
      <c r="K1341" s="25"/>
      <c r="L1341" s="25"/>
      <c r="M1341" s="25"/>
      <c r="N1341" s="24" t="e">
        <f>M1341/L1341</f>
        <v>#DIV/0!</v>
      </c>
      <c r="O1341" s="23"/>
    </row>
    <row r="1342" spans="1:15" s="54" customFormat="1" x14ac:dyDescent="0.2">
      <c r="A1342" s="57"/>
      <c r="B1342" s="58" t="s">
        <v>2645</v>
      </c>
      <c r="C1342" s="58" t="s">
        <v>2646</v>
      </c>
      <c r="D1342" s="59">
        <v>0</v>
      </c>
      <c r="E1342" s="59">
        <v>0</v>
      </c>
      <c r="F1342" s="60">
        <v>3</v>
      </c>
      <c r="G1342" s="60">
        <v>1</v>
      </c>
      <c r="H1342" s="60">
        <v>26</v>
      </c>
      <c r="I1342" s="61">
        <f>H1342/(F1342-G1342)</f>
        <v>13</v>
      </c>
      <c r="J1342" s="60">
        <v>11</v>
      </c>
      <c r="K1342" s="62">
        <v>27</v>
      </c>
      <c r="L1342" s="62">
        <v>7</v>
      </c>
      <c r="M1342" s="62">
        <v>95</v>
      </c>
      <c r="N1342" s="63">
        <f>M1342/L1342</f>
        <v>13.571428571428571</v>
      </c>
      <c r="O1342" s="66" t="s">
        <v>1810</v>
      </c>
    </row>
    <row r="1343" spans="1:15" s="54" customFormat="1" x14ac:dyDescent="0.2">
      <c r="A1343" s="84">
        <v>1680613</v>
      </c>
      <c r="B1343" s="2" t="s">
        <v>1978</v>
      </c>
      <c r="C1343" s="2" t="s">
        <v>1979</v>
      </c>
      <c r="D1343" s="7">
        <f>4+2+6</f>
        <v>12</v>
      </c>
      <c r="E1343" s="7">
        <f>0</f>
        <v>0</v>
      </c>
      <c r="F1343" s="17">
        <f>5+8</f>
        <v>13</v>
      </c>
      <c r="G1343" s="17">
        <f>0+0</f>
        <v>0</v>
      </c>
      <c r="H1343" s="17">
        <f>32+46</f>
        <v>78</v>
      </c>
      <c r="I1343" s="16">
        <f>H1343/(F1343-G1343)</f>
        <v>6</v>
      </c>
      <c r="J1343" s="17">
        <v>33</v>
      </c>
      <c r="K1343" s="25">
        <f>9</f>
        <v>9</v>
      </c>
      <c r="L1343" s="25">
        <f>1</f>
        <v>1</v>
      </c>
      <c r="M1343" s="25">
        <f>22</f>
        <v>22</v>
      </c>
      <c r="N1343" s="24">
        <f>M1343/L1343</f>
        <v>22</v>
      </c>
      <c r="O1343" s="49" t="s">
        <v>1639</v>
      </c>
    </row>
    <row r="1344" spans="1:15" s="54" customFormat="1" x14ac:dyDescent="0.2">
      <c r="A1344" s="84">
        <v>1522876</v>
      </c>
      <c r="B1344" s="2" t="s">
        <v>1980</v>
      </c>
      <c r="C1344" s="2" t="s">
        <v>1981</v>
      </c>
      <c r="D1344" s="7">
        <f>0+0</f>
        <v>0</v>
      </c>
      <c r="E1344" s="7">
        <f>0</f>
        <v>0</v>
      </c>
      <c r="F1344" s="17">
        <f>7+3</f>
        <v>10</v>
      </c>
      <c r="G1344" s="17">
        <f>0+0</f>
        <v>0</v>
      </c>
      <c r="H1344" s="17">
        <f>71+8</f>
        <v>79</v>
      </c>
      <c r="I1344" s="16">
        <f>H1344/(F1344-G1344)</f>
        <v>7.9</v>
      </c>
      <c r="J1344" s="17">
        <v>33</v>
      </c>
      <c r="K1344" s="25">
        <f>108.3+30</f>
        <v>138.30000000000001</v>
      </c>
      <c r="L1344" s="25">
        <f>14+3</f>
        <v>17</v>
      </c>
      <c r="M1344" s="25">
        <f>314+109</f>
        <v>423</v>
      </c>
      <c r="N1344" s="24">
        <f>M1344/L1344</f>
        <v>24.882352941176471</v>
      </c>
      <c r="O1344" s="49" t="s">
        <v>2038</v>
      </c>
    </row>
    <row r="1345" spans="1:15" s="54" customFormat="1" x14ac:dyDescent="0.2">
      <c r="A1345" s="84">
        <v>1763650</v>
      </c>
      <c r="B1345" s="2" t="s">
        <v>1982</v>
      </c>
      <c r="C1345" s="2" t="s">
        <v>1983</v>
      </c>
      <c r="D1345" s="7">
        <f>0</f>
        <v>0</v>
      </c>
      <c r="E1345" s="7">
        <f>0</f>
        <v>0</v>
      </c>
      <c r="F1345" s="17">
        <f>1</f>
        <v>1</v>
      </c>
      <c r="G1345" s="17">
        <f>0</f>
        <v>0</v>
      </c>
      <c r="H1345" s="17">
        <f>0</f>
        <v>0</v>
      </c>
      <c r="I1345" s="16">
        <f>H1345/(F1345-G1345)</f>
        <v>0</v>
      </c>
      <c r="J1345" s="17">
        <v>0</v>
      </c>
      <c r="K1345" s="25"/>
      <c r="L1345" s="25"/>
      <c r="M1345" s="25"/>
      <c r="N1345" s="24" t="e">
        <f>M1345/L1345</f>
        <v>#DIV/0!</v>
      </c>
      <c r="O1345" s="23"/>
    </row>
    <row r="1346" spans="1:15" s="54" customFormat="1" x14ac:dyDescent="0.2">
      <c r="A1346" s="4"/>
      <c r="B1346" s="2" t="s">
        <v>1168</v>
      </c>
      <c r="C1346" s="2" t="s">
        <v>62</v>
      </c>
      <c r="D1346" s="7">
        <f>8+6+4+6</f>
        <v>24</v>
      </c>
      <c r="E1346" s="7"/>
      <c r="F1346" s="15">
        <f>1+2+2+1+1+1+1+1+1+12+2+8+18+13</f>
        <v>64</v>
      </c>
      <c r="G1346" s="15">
        <f>1+1+1+2+1</f>
        <v>6</v>
      </c>
      <c r="H1346" s="15">
        <f>3+0+3+0+0+1+0+0+14+0+2+80+22+76+77+44</f>
        <v>322</v>
      </c>
      <c r="I1346" s="16">
        <f>H1346/(F1346-G1346)</f>
        <v>5.5517241379310347</v>
      </c>
      <c r="J1346" s="17">
        <v>39</v>
      </c>
      <c r="K1346" s="23">
        <f>4+2+2+1+8+4+2+5+2+4+5+67+13+51+69+67</f>
        <v>306</v>
      </c>
      <c r="L1346" s="23">
        <f>0+0+0+1+1+3+0+1+0+1+22+3+11+14+15</f>
        <v>72</v>
      </c>
      <c r="M1346" s="23">
        <f>24+3+15+9+26+4+3+12+6+21+9+122+31+82+247+263</f>
        <v>877</v>
      </c>
      <c r="N1346" s="24">
        <f>M1346/L1346</f>
        <v>12.180555555555555</v>
      </c>
      <c r="O1346" s="23"/>
    </row>
    <row r="1347" spans="1:15" s="54" customFormat="1" x14ac:dyDescent="0.2">
      <c r="A1347" s="84">
        <v>1785642</v>
      </c>
      <c r="B1347" s="2" t="s">
        <v>1984</v>
      </c>
      <c r="C1347" s="2" t="s">
        <v>1985</v>
      </c>
      <c r="D1347" s="7">
        <f>1</f>
        <v>1</v>
      </c>
      <c r="E1347" s="7">
        <f>0</f>
        <v>0</v>
      </c>
      <c r="F1347" s="17">
        <f>13</f>
        <v>13</v>
      </c>
      <c r="G1347" s="17">
        <f>2</f>
        <v>2</v>
      </c>
      <c r="H1347" s="17">
        <f>79</f>
        <v>79</v>
      </c>
      <c r="I1347" s="16">
        <f>H1347/(F1347-G1347)</f>
        <v>7.1818181818181817</v>
      </c>
      <c r="J1347" s="17">
        <v>26</v>
      </c>
      <c r="K1347" s="25"/>
      <c r="L1347" s="25"/>
      <c r="M1347" s="25"/>
      <c r="N1347" s="24" t="e">
        <f>M1347/L1347</f>
        <v>#DIV/0!</v>
      </c>
      <c r="O1347" s="23"/>
    </row>
    <row r="1348" spans="1:15" s="54" customFormat="1" x14ac:dyDescent="0.2">
      <c r="A1348" s="84">
        <v>1846123</v>
      </c>
      <c r="B1348" s="2" t="s">
        <v>1986</v>
      </c>
      <c r="C1348" s="2" t="s">
        <v>1987</v>
      </c>
      <c r="D1348" s="7">
        <f>0</f>
        <v>0</v>
      </c>
      <c r="E1348" s="7">
        <f>0</f>
        <v>0</v>
      </c>
      <c r="F1348" s="17">
        <f>3</f>
        <v>3</v>
      </c>
      <c r="G1348" s="17">
        <f>1</f>
        <v>1</v>
      </c>
      <c r="H1348" s="17">
        <f>10</f>
        <v>10</v>
      </c>
      <c r="I1348" s="16">
        <f>H1348/(F1348-G1348)</f>
        <v>5</v>
      </c>
      <c r="J1348" s="17">
        <v>8</v>
      </c>
      <c r="K1348" s="25">
        <f>14</f>
        <v>14</v>
      </c>
      <c r="L1348" s="25">
        <f>2</f>
        <v>2</v>
      </c>
      <c r="M1348" s="25">
        <f>44</f>
        <v>44</v>
      </c>
      <c r="N1348" s="24">
        <f>M1348/L1348</f>
        <v>22</v>
      </c>
      <c r="O1348" s="49" t="s">
        <v>1809</v>
      </c>
    </row>
    <row r="1349" spans="1:15" s="54" customFormat="1" x14ac:dyDescent="0.2">
      <c r="A1349" s="4">
        <v>1267217</v>
      </c>
      <c r="B1349" s="52" t="s">
        <v>1487</v>
      </c>
      <c r="C1349" s="2" t="s">
        <v>1496</v>
      </c>
      <c r="D1349" s="7">
        <f>0+4+1+2</f>
        <v>7</v>
      </c>
      <c r="E1349" s="7">
        <f>0+0+0+0</f>
        <v>0</v>
      </c>
      <c r="F1349" s="17">
        <f>5+13+9+13</f>
        <v>40</v>
      </c>
      <c r="G1349" s="17">
        <f>1+0+3+4</f>
        <v>8</v>
      </c>
      <c r="H1349" s="17">
        <f>121+265+139+129</f>
        <v>654</v>
      </c>
      <c r="I1349" s="16">
        <f>H1349/(F1349-G1349)</f>
        <v>20.4375</v>
      </c>
      <c r="J1349" s="17">
        <v>50</v>
      </c>
      <c r="K1349" s="25">
        <f>71+141+123+77</f>
        <v>412</v>
      </c>
      <c r="L1349" s="25">
        <f>14+23+18+8</f>
        <v>63</v>
      </c>
      <c r="M1349" s="25">
        <f>225+426+462+202</f>
        <v>1315</v>
      </c>
      <c r="N1349" s="24">
        <f>M1349/L1349</f>
        <v>20.873015873015873</v>
      </c>
      <c r="O1349" s="49" t="s">
        <v>1808</v>
      </c>
    </row>
    <row r="1350" spans="1:15" s="54" customFormat="1" x14ac:dyDescent="0.2">
      <c r="A1350" s="4">
        <v>2076105</v>
      </c>
      <c r="B1350" s="2" t="s">
        <v>1487</v>
      </c>
      <c r="C1350" s="2" t="s">
        <v>1496</v>
      </c>
      <c r="D1350" s="7">
        <f>5</f>
        <v>5</v>
      </c>
      <c r="E1350" s="7">
        <f>0</f>
        <v>0</v>
      </c>
      <c r="F1350" s="17">
        <f>13</f>
        <v>13</v>
      </c>
      <c r="G1350" s="17">
        <f>1</f>
        <v>1</v>
      </c>
      <c r="H1350" s="17">
        <f>197</f>
        <v>197</v>
      </c>
      <c r="I1350" s="16">
        <f>H1350/(F1350-G1350)</f>
        <v>16.416666666666668</v>
      </c>
      <c r="J1350" s="17">
        <v>55</v>
      </c>
      <c r="K1350" s="25">
        <f>5</f>
        <v>5</v>
      </c>
      <c r="L1350" s="25">
        <f>0</f>
        <v>0</v>
      </c>
      <c r="M1350" s="25">
        <f>21</f>
        <v>21</v>
      </c>
      <c r="N1350" s="24" t="e">
        <f>M1350/L1350</f>
        <v>#DIV/0!</v>
      </c>
      <c r="O1350" s="49" t="s">
        <v>1506</v>
      </c>
    </row>
    <row r="1351" spans="1:15" s="54" customFormat="1" x14ac:dyDescent="0.2">
      <c r="A1351" s="84">
        <v>1724006</v>
      </c>
      <c r="B1351" s="2" t="s">
        <v>2234</v>
      </c>
      <c r="C1351" s="2" t="s">
        <v>2235</v>
      </c>
      <c r="D1351" s="7">
        <f>0+5+4</f>
        <v>9</v>
      </c>
      <c r="E1351" s="7">
        <f>0+0</f>
        <v>0</v>
      </c>
      <c r="F1351" s="17">
        <f>8+18+7</f>
        <v>33</v>
      </c>
      <c r="G1351" s="17">
        <f>8+3+2</f>
        <v>13</v>
      </c>
      <c r="H1351" s="17">
        <f>96+55+10</f>
        <v>161</v>
      </c>
      <c r="I1351" s="16">
        <f>H1351/(F1351-G1351)</f>
        <v>8.0500000000000007</v>
      </c>
      <c r="J1351" s="17" t="s">
        <v>420</v>
      </c>
      <c r="K1351" s="25">
        <f>25+49+41.5</f>
        <v>115.5</v>
      </c>
      <c r="L1351" s="25">
        <f>6+6+9</f>
        <v>21</v>
      </c>
      <c r="M1351" s="25">
        <f>60+231+85</f>
        <v>376</v>
      </c>
      <c r="N1351" s="24">
        <f>M1351/L1351</f>
        <v>17.904761904761905</v>
      </c>
      <c r="O1351" s="49" t="s">
        <v>2286</v>
      </c>
    </row>
    <row r="1352" spans="1:15" s="54" customFormat="1" x14ac:dyDescent="0.2">
      <c r="A1352" s="84">
        <v>679226</v>
      </c>
      <c r="B1352" s="2" t="s">
        <v>1764</v>
      </c>
      <c r="C1352" s="2" t="s">
        <v>1765</v>
      </c>
      <c r="D1352" s="7">
        <f>0+1+0</f>
        <v>1</v>
      </c>
      <c r="E1352" s="7">
        <f>0+0</f>
        <v>0</v>
      </c>
      <c r="F1352" s="17">
        <f>10+8+7</f>
        <v>25</v>
      </c>
      <c r="G1352" s="17">
        <f>4+1+0</f>
        <v>5</v>
      </c>
      <c r="H1352" s="17">
        <f>152+71+108</f>
        <v>331</v>
      </c>
      <c r="I1352" s="16">
        <f>H1352/(F1352-G1352)</f>
        <v>16.55</v>
      </c>
      <c r="J1352" s="17">
        <v>43</v>
      </c>
      <c r="K1352" s="25">
        <f>127.3+92+114</f>
        <v>333.3</v>
      </c>
      <c r="L1352" s="25">
        <f>21+26+18</f>
        <v>65</v>
      </c>
      <c r="M1352" s="25">
        <f>408+232+359</f>
        <v>999</v>
      </c>
      <c r="N1352" s="24">
        <f>M1352/L1352</f>
        <v>15.36923076923077</v>
      </c>
      <c r="O1352" s="49" t="s">
        <v>2039</v>
      </c>
    </row>
    <row r="1353" spans="1:15" s="54" customFormat="1" x14ac:dyDescent="0.2">
      <c r="A1353" s="4"/>
      <c r="B1353" s="2" t="s">
        <v>1174</v>
      </c>
      <c r="C1353" s="2" t="s">
        <v>59</v>
      </c>
      <c r="D1353" s="7">
        <v>31</v>
      </c>
      <c r="E1353" s="7"/>
      <c r="F1353" s="17">
        <v>53</v>
      </c>
      <c r="G1353" s="17">
        <v>3</v>
      </c>
      <c r="H1353" s="17">
        <v>968</v>
      </c>
      <c r="I1353" s="16">
        <f>H1353/(F1353-G1353)</f>
        <v>19.36</v>
      </c>
      <c r="J1353" s="17" t="s">
        <v>449</v>
      </c>
      <c r="K1353" s="25">
        <v>124</v>
      </c>
      <c r="L1353" s="25">
        <v>40</v>
      </c>
      <c r="M1353" s="25">
        <v>483</v>
      </c>
      <c r="N1353" s="24">
        <f>M1353/L1353</f>
        <v>12.074999999999999</v>
      </c>
      <c r="O1353" s="23"/>
    </row>
    <row r="1354" spans="1:15" s="54" customFormat="1" x14ac:dyDescent="0.2">
      <c r="A1354" s="4"/>
      <c r="B1354" s="2" t="s">
        <v>1175</v>
      </c>
      <c r="C1354" s="2" t="s">
        <v>120</v>
      </c>
      <c r="D1354" s="8">
        <v>91</v>
      </c>
      <c r="E1354" s="7">
        <v>3</v>
      </c>
      <c r="F1354" s="17">
        <f>18+16+17+15+15+1+16</f>
        <v>98</v>
      </c>
      <c r="G1354" s="17">
        <f>5+2+2+2+2+1</f>
        <v>14</v>
      </c>
      <c r="H1354" s="17">
        <f>214+260+141+282+128+9+213</f>
        <v>1247</v>
      </c>
      <c r="I1354" s="16">
        <f>H1354/(F1354-G1354)</f>
        <v>14.845238095238095</v>
      </c>
      <c r="J1354" s="17">
        <v>60</v>
      </c>
      <c r="K1354" s="25">
        <f>21+1+5</f>
        <v>27</v>
      </c>
      <c r="L1354" s="25">
        <v>8</v>
      </c>
      <c r="M1354" s="25">
        <f>68+19+19</f>
        <v>106</v>
      </c>
      <c r="N1354" s="24">
        <f>M1354/L1354</f>
        <v>13.25</v>
      </c>
      <c r="O1354" s="23"/>
    </row>
    <row r="1355" spans="1:15" s="54" customFormat="1" x14ac:dyDescent="0.2">
      <c r="A1355" s="84">
        <v>1577222</v>
      </c>
      <c r="B1355" s="2" t="s">
        <v>1988</v>
      </c>
      <c r="C1355" s="2" t="s">
        <v>1989</v>
      </c>
      <c r="D1355" s="7">
        <f>0</f>
        <v>0</v>
      </c>
      <c r="E1355" s="7">
        <f>0</f>
        <v>0</v>
      </c>
      <c r="F1355" s="17">
        <f>2</f>
        <v>2</v>
      </c>
      <c r="G1355" s="17">
        <f>0</f>
        <v>0</v>
      </c>
      <c r="H1355" s="17">
        <f>4</f>
        <v>4</v>
      </c>
      <c r="I1355" s="16">
        <f>H1355/(F1355-G1355)</f>
        <v>2</v>
      </c>
      <c r="J1355" s="17">
        <v>2</v>
      </c>
      <c r="K1355" s="25">
        <f>6</f>
        <v>6</v>
      </c>
      <c r="L1355" s="25">
        <f>2</f>
        <v>2</v>
      </c>
      <c r="M1355" s="25">
        <f>17</f>
        <v>17</v>
      </c>
      <c r="N1355" s="24">
        <f>M1355/L1355</f>
        <v>8.5</v>
      </c>
      <c r="O1355" s="49" t="s">
        <v>1355</v>
      </c>
    </row>
    <row r="1356" spans="1:15" s="54" customFormat="1" x14ac:dyDescent="0.2">
      <c r="A1356" s="84">
        <v>2027818</v>
      </c>
      <c r="B1356" s="2" t="s">
        <v>2509</v>
      </c>
      <c r="C1356" s="2" t="s">
        <v>2510</v>
      </c>
      <c r="D1356" s="7">
        <v>0</v>
      </c>
      <c r="E1356" s="7">
        <v>0</v>
      </c>
      <c r="F1356" s="17">
        <v>6</v>
      </c>
      <c r="G1356" s="17">
        <v>0</v>
      </c>
      <c r="H1356" s="17">
        <v>15</v>
      </c>
      <c r="I1356" s="16">
        <f>H1356/(F1356-G1356)</f>
        <v>2.5</v>
      </c>
      <c r="J1356" s="17">
        <v>6</v>
      </c>
      <c r="K1356" s="25">
        <v>13</v>
      </c>
      <c r="L1356" s="25">
        <v>2</v>
      </c>
      <c r="M1356" s="25">
        <v>57</v>
      </c>
      <c r="N1356" s="24">
        <f>M1356/L1356</f>
        <v>28.5</v>
      </c>
      <c r="O1356" s="49" t="s">
        <v>1365</v>
      </c>
    </row>
    <row r="1357" spans="1:15" s="54" customFormat="1" x14ac:dyDescent="0.2">
      <c r="A1357" s="84">
        <v>1075367</v>
      </c>
      <c r="B1357" s="2" t="s">
        <v>2236</v>
      </c>
      <c r="C1357" s="2" t="s">
        <v>2237</v>
      </c>
      <c r="D1357" s="7">
        <f>1+3</f>
        <v>4</v>
      </c>
      <c r="E1357" s="7">
        <f>0</f>
        <v>0</v>
      </c>
      <c r="F1357" s="17">
        <f>9+11</f>
        <v>20</v>
      </c>
      <c r="G1357" s="17">
        <f>3+0</f>
        <v>3</v>
      </c>
      <c r="H1357" s="17">
        <f>85+113</f>
        <v>198</v>
      </c>
      <c r="I1357" s="16">
        <f>H1357/(F1357-G1357)</f>
        <v>11.647058823529411</v>
      </c>
      <c r="J1357" s="17">
        <v>54</v>
      </c>
      <c r="K1357" s="25">
        <f>17.5+8</f>
        <v>25.5</v>
      </c>
      <c r="L1357" s="25">
        <f>1+1</f>
        <v>2</v>
      </c>
      <c r="M1357" s="25">
        <f>82+24</f>
        <v>106</v>
      </c>
      <c r="N1357" s="24">
        <f>M1357/L1357</f>
        <v>53</v>
      </c>
      <c r="O1357" s="49" t="s">
        <v>1631</v>
      </c>
    </row>
    <row r="1358" spans="1:15" s="54" customFormat="1" x14ac:dyDescent="0.2">
      <c r="A1358" s="4"/>
      <c r="B1358" s="2" t="s">
        <v>1176</v>
      </c>
      <c r="C1358" s="2" t="s">
        <v>12</v>
      </c>
      <c r="D1358" s="7">
        <v>1</v>
      </c>
      <c r="E1358" s="7"/>
      <c r="F1358" s="17">
        <f>3+6</f>
        <v>9</v>
      </c>
      <c r="G1358" s="17">
        <f>1+2</f>
        <v>3</v>
      </c>
      <c r="H1358" s="17">
        <f>2+31</f>
        <v>33</v>
      </c>
      <c r="I1358" s="16">
        <f>H1358/(F1358-G1358)</f>
        <v>5.5</v>
      </c>
      <c r="J1358" s="17">
        <v>12</v>
      </c>
      <c r="K1358" s="25">
        <f>10+4</f>
        <v>14</v>
      </c>
      <c r="L1358" s="25">
        <v>0</v>
      </c>
      <c r="M1358" s="25">
        <f>41+41</f>
        <v>82</v>
      </c>
      <c r="N1358" s="24" t="e">
        <f>M1358/L1358</f>
        <v>#DIV/0!</v>
      </c>
      <c r="O1358" s="23"/>
    </row>
    <row r="1359" spans="1:15" s="54" customFormat="1" x14ac:dyDescent="0.2">
      <c r="A1359" s="4">
        <v>1919203</v>
      </c>
      <c r="B1359" s="2" t="s">
        <v>2421</v>
      </c>
      <c r="C1359" s="2" t="s">
        <v>2422</v>
      </c>
      <c r="D1359" s="7">
        <f>1</f>
        <v>1</v>
      </c>
      <c r="E1359" s="7">
        <f>0</f>
        <v>0</v>
      </c>
      <c r="F1359" s="17"/>
      <c r="G1359" s="17"/>
      <c r="H1359" s="17"/>
      <c r="I1359" s="16" t="e">
        <f>H1359/(F1359-G1359)</f>
        <v>#DIV/0!</v>
      </c>
      <c r="J1359" s="17"/>
      <c r="K1359" s="25">
        <f>3</f>
        <v>3</v>
      </c>
      <c r="L1359" s="25">
        <f>0</f>
        <v>0</v>
      </c>
      <c r="M1359" s="25">
        <f>14</f>
        <v>14</v>
      </c>
      <c r="N1359" s="24" t="e">
        <f>M1359/L1359</f>
        <v>#DIV/0!</v>
      </c>
      <c r="O1359" s="23"/>
    </row>
    <row r="1360" spans="1:15" s="54" customFormat="1" x14ac:dyDescent="0.2">
      <c r="A1360" s="4"/>
      <c r="B1360" s="2" t="s">
        <v>1177</v>
      </c>
      <c r="C1360" s="2" t="s">
        <v>82</v>
      </c>
      <c r="D1360" s="7">
        <f>3+4+1+2</f>
        <v>10</v>
      </c>
      <c r="E1360" s="7"/>
      <c r="F1360" s="17">
        <f>5+9+8+2+12</f>
        <v>36</v>
      </c>
      <c r="G1360" s="17">
        <f>1+1+1+2</f>
        <v>5</v>
      </c>
      <c r="H1360" s="17">
        <f>16+30+47+3+34</f>
        <v>130</v>
      </c>
      <c r="I1360" s="16">
        <f>H1360/(F1360-G1360)</f>
        <v>4.193548387096774</v>
      </c>
      <c r="J1360" s="17" t="s">
        <v>364</v>
      </c>
      <c r="K1360" s="25">
        <f>53+68+49+10+18</f>
        <v>198</v>
      </c>
      <c r="L1360" s="25">
        <f>14+18+12+1+2</f>
        <v>47</v>
      </c>
      <c r="M1360" s="25">
        <f>76+158+75+23+87</f>
        <v>419</v>
      </c>
      <c r="N1360" s="24">
        <f>M1360/L1360</f>
        <v>8.914893617021276</v>
      </c>
      <c r="O1360" s="23"/>
    </row>
    <row r="1361" spans="1:15" s="54" customFormat="1" x14ac:dyDescent="0.2">
      <c r="A1361" s="4"/>
      <c r="B1361" s="4" t="s">
        <v>1178</v>
      </c>
      <c r="C1361" s="2" t="s">
        <v>220</v>
      </c>
      <c r="D1361" s="7">
        <v>1</v>
      </c>
      <c r="E1361" s="7"/>
      <c r="F1361" s="17">
        <v>2</v>
      </c>
      <c r="G1361" s="17">
        <v>0</v>
      </c>
      <c r="H1361" s="17">
        <v>0</v>
      </c>
      <c r="I1361" s="16">
        <f>H1361/(F1361-G1361)</f>
        <v>0</v>
      </c>
      <c r="J1361" s="17">
        <v>0</v>
      </c>
      <c r="K1361" s="25">
        <v>45</v>
      </c>
      <c r="L1361" s="25">
        <v>19</v>
      </c>
      <c r="M1361" s="25">
        <v>114</v>
      </c>
      <c r="N1361" s="24">
        <f>M1361/L1361</f>
        <v>6</v>
      </c>
      <c r="O1361" s="23"/>
    </row>
    <row r="1362" spans="1:15" s="54" customFormat="1" x14ac:dyDescent="0.2">
      <c r="A1362" s="4"/>
      <c r="B1362" s="2" t="s">
        <v>37</v>
      </c>
      <c r="C1362" s="2" t="s">
        <v>91</v>
      </c>
      <c r="D1362" s="7">
        <f>3+11+3</f>
        <v>17</v>
      </c>
      <c r="E1362" s="7"/>
      <c r="F1362" s="17">
        <f>12+18+16+10</f>
        <v>56</v>
      </c>
      <c r="G1362" s="17">
        <f>1+1+2+1</f>
        <v>5</v>
      </c>
      <c r="H1362" s="17">
        <f>210+292+194+79</f>
        <v>775</v>
      </c>
      <c r="I1362" s="16">
        <f>H1362/(F1362-G1362)</f>
        <v>15.196078431372548</v>
      </c>
      <c r="J1362" s="17">
        <v>88</v>
      </c>
      <c r="K1362" s="25">
        <f>58+102+72+6+37</f>
        <v>275</v>
      </c>
      <c r="L1362" s="25">
        <f>17+20+10+2+9</f>
        <v>58</v>
      </c>
      <c r="M1362" s="25">
        <f>229+377+303+9+118</f>
        <v>1036</v>
      </c>
      <c r="N1362" s="24">
        <f>M1362/L1362</f>
        <v>17.862068965517242</v>
      </c>
      <c r="O1362" s="23"/>
    </row>
    <row r="1363" spans="1:15" s="54" customFormat="1" x14ac:dyDescent="0.2">
      <c r="A1363" s="4"/>
      <c r="B1363" s="4" t="s">
        <v>1179</v>
      </c>
      <c r="C1363" s="2" t="s">
        <v>278</v>
      </c>
      <c r="D1363" s="7">
        <v>7</v>
      </c>
      <c r="E1363" s="7"/>
      <c r="F1363" s="17">
        <v>14</v>
      </c>
      <c r="G1363" s="17">
        <v>2</v>
      </c>
      <c r="H1363" s="17">
        <v>122</v>
      </c>
      <c r="I1363" s="16">
        <f>H1363/(F1363-G1363)</f>
        <v>10.166666666666666</v>
      </c>
      <c r="J1363" s="17">
        <v>29</v>
      </c>
      <c r="K1363" s="25">
        <v>49.4</v>
      </c>
      <c r="L1363" s="25">
        <v>10</v>
      </c>
      <c r="M1363" s="25">
        <v>160</v>
      </c>
      <c r="N1363" s="24">
        <f>M1363/L1363</f>
        <v>16</v>
      </c>
      <c r="O1363" s="23"/>
    </row>
    <row r="1364" spans="1:15" s="54" customFormat="1" x14ac:dyDescent="0.2">
      <c r="A1364" s="4"/>
      <c r="B1364" s="2" t="s">
        <v>1180</v>
      </c>
      <c r="C1364" s="2" t="s">
        <v>12</v>
      </c>
      <c r="D1364" s="7">
        <v>16</v>
      </c>
      <c r="E1364" s="7"/>
      <c r="F1364" s="17">
        <v>10</v>
      </c>
      <c r="G1364" s="17"/>
      <c r="H1364" s="17">
        <v>201</v>
      </c>
      <c r="I1364" s="16">
        <f>H1364/(F1364-G1364)</f>
        <v>20.100000000000001</v>
      </c>
      <c r="J1364" s="17">
        <v>49</v>
      </c>
      <c r="K1364" s="25"/>
      <c r="L1364" s="25"/>
      <c r="M1364" s="25"/>
      <c r="N1364" s="24" t="e">
        <f>M1364/L1364</f>
        <v>#DIV/0!</v>
      </c>
      <c r="O1364" s="23"/>
    </row>
    <row r="1365" spans="1:15" s="54" customFormat="1" x14ac:dyDescent="0.2">
      <c r="A1365" s="4"/>
      <c r="B1365" s="4" t="s">
        <v>1181</v>
      </c>
      <c r="C1365" s="2" t="s">
        <v>66</v>
      </c>
      <c r="D1365" s="7">
        <f>2</f>
        <v>2</v>
      </c>
      <c r="E1365" s="7"/>
      <c r="F1365" s="17">
        <v>1</v>
      </c>
      <c r="G1365" s="17">
        <v>0</v>
      </c>
      <c r="H1365" s="17">
        <v>8</v>
      </c>
      <c r="I1365" s="16">
        <f>H1365/(F1365-G1365)</f>
        <v>8</v>
      </c>
      <c r="J1365" s="17">
        <v>8</v>
      </c>
      <c r="K1365" s="25">
        <v>3</v>
      </c>
      <c r="L1365" s="25">
        <v>0</v>
      </c>
      <c r="M1365" s="25">
        <v>4</v>
      </c>
      <c r="N1365" s="24" t="e">
        <f>M1365/L1365</f>
        <v>#DIV/0!</v>
      </c>
      <c r="O1365" s="23"/>
    </row>
    <row r="1366" spans="1:15" s="54" customFormat="1" x14ac:dyDescent="0.2">
      <c r="A1366" s="4"/>
      <c r="B1366" s="2" t="s">
        <v>1182</v>
      </c>
      <c r="C1366" s="2" t="s">
        <v>16</v>
      </c>
      <c r="D1366" s="7"/>
      <c r="E1366" s="7"/>
      <c r="F1366" s="17">
        <v>9</v>
      </c>
      <c r="G1366" s="17">
        <v>0</v>
      </c>
      <c r="H1366" s="17">
        <v>49</v>
      </c>
      <c r="I1366" s="16">
        <f>H1366/(F1366-G1366)</f>
        <v>5.4444444444444446</v>
      </c>
      <c r="J1366" s="17">
        <v>13</v>
      </c>
      <c r="K1366" s="25">
        <v>20</v>
      </c>
      <c r="L1366" s="25">
        <v>3</v>
      </c>
      <c r="M1366" s="25">
        <v>77</v>
      </c>
      <c r="N1366" s="24">
        <f>M1366/L1366</f>
        <v>25.666666666666668</v>
      </c>
      <c r="O1366" s="23"/>
    </row>
    <row r="1367" spans="1:15" s="54" customFormat="1" x14ac:dyDescent="0.2">
      <c r="A1367" s="4"/>
      <c r="B1367" s="2" t="s">
        <v>1183</v>
      </c>
      <c r="C1367" s="2" t="s">
        <v>15</v>
      </c>
      <c r="D1367" s="7">
        <v>14</v>
      </c>
      <c r="E1367" s="7"/>
      <c r="F1367" s="17">
        <v>69</v>
      </c>
      <c r="G1367" s="17">
        <v>13</v>
      </c>
      <c r="H1367" s="17">
        <v>940</v>
      </c>
      <c r="I1367" s="16">
        <f>H1367/(F1367-G1367)</f>
        <v>16.785714285714285</v>
      </c>
      <c r="J1367" s="17" t="s">
        <v>450</v>
      </c>
      <c r="K1367" s="25">
        <v>404</v>
      </c>
      <c r="L1367" s="25">
        <v>70</v>
      </c>
      <c r="M1367" s="25">
        <v>959</v>
      </c>
      <c r="N1367" s="24">
        <f>M1367/L1367</f>
        <v>13.7</v>
      </c>
      <c r="O1367" s="23"/>
    </row>
    <row r="1368" spans="1:15" s="54" customFormat="1" x14ac:dyDescent="0.2">
      <c r="A1368" s="4"/>
      <c r="B1368" s="2" t="s">
        <v>1184</v>
      </c>
      <c r="C1368" s="2" t="s">
        <v>31</v>
      </c>
      <c r="D1368" s="7">
        <v>3</v>
      </c>
      <c r="E1368" s="7"/>
      <c r="F1368" s="17">
        <v>8</v>
      </c>
      <c r="G1368" s="17">
        <v>1</v>
      </c>
      <c r="H1368" s="17">
        <v>109</v>
      </c>
      <c r="I1368" s="16">
        <f>H1368/(F1368-G1368)</f>
        <v>15.571428571428571</v>
      </c>
      <c r="J1368" s="17">
        <v>48</v>
      </c>
      <c r="K1368" s="25">
        <v>0</v>
      </c>
      <c r="L1368" s="25">
        <v>0</v>
      </c>
      <c r="M1368" s="25">
        <v>0</v>
      </c>
      <c r="N1368" s="24" t="e">
        <f>M1368/L1368</f>
        <v>#DIV/0!</v>
      </c>
      <c r="O1368" s="23"/>
    </row>
    <row r="1369" spans="1:15" s="54" customFormat="1" x14ac:dyDescent="0.2">
      <c r="A1369" s="4"/>
      <c r="B1369" s="2" t="s">
        <v>1185</v>
      </c>
      <c r="C1369" s="2" t="s">
        <v>156</v>
      </c>
      <c r="D1369" s="7">
        <v>48</v>
      </c>
      <c r="E1369" s="7"/>
      <c r="F1369" s="17">
        <v>94</v>
      </c>
      <c r="G1369" s="17">
        <v>6</v>
      </c>
      <c r="H1369" s="17">
        <v>1525</v>
      </c>
      <c r="I1369" s="16">
        <f>H1369/(F1369-G1369)</f>
        <v>17.329545454545453</v>
      </c>
      <c r="J1369" s="17" t="s">
        <v>292</v>
      </c>
      <c r="K1369" s="25">
        <v>269</v>
      </c>
      <c r="L1369" s="25">
        <v>64</v>
      </c>
      <c r="M1369" s="25">
        <v>947</v>
      </c>
      <c r="N1369" s="24">
        <f>M1369/L1369</f>
        <v>14.796875</v>
      </c>
      <c r="O1369" s="23"/>
    </row>
    <row r="1370" spans="1:15" s="54" customFormat="1" x14ac:dyDescent="0.2">
      <c r="A1370" s="4"/>
      <c r="B1370" s="2" t="s">
        <v>1186</v>
      </c>
      <c r="C1370" s="2" t="s">
        <v>9</v>
      </c>
      <c r="D1370" s="7">
        <v>7</v>
      </c>
      <c r="E1370" s="7"/>
      <c r="F1370" s="17">
        <v>8</v>
      </c>
      <c r="G1370" s="17">
        <v>1</v>
      </c>
      <c r="H1370" s="17">
        <v>147</v>
      </c>
      <c r="I1370" s="16">
        <f>H1370/(F1370-G1370)</f>
        <v>21</v>
      </c>
      <c r="J1370" s="17">
        <v>68</v>
      </c>
      <c r="K1370" s="25">
        <v>43</v>
      </c>
      <c r="L1370" s="25">
        <v>14</v>
      </c>
      <c r="M1370" s="25">
        <v>101</v>
      </c>
      <c r="N1370" s="24">
        <f>M1370/L1370</f>
        <v>7.2142857142857144</v>
      </c>
      <c r="O1370" s="23"/>
    </row>
    <row r="1371" spans="1:15" s="54" customFormat="1" x14ac:dyDescent="0.2">
      <c r="A1371" s="4"/>
      <c r="B1371" s="4" t="s">
        <v>1187</v>
      </c>
      <c r="C1371" s="2" t="s">
        <v>264</v>
      </c>
      <c r="D1371" s="7">
        <f>5+6+5+5+0+0</f>
        <v>21</v>
      </c>
      <c r="E1371" s="7"/>
      <c r="F1371" s="17">
        <f>10+11+9+13+1+1</f>
        <v>45</v>
      </c>
      <c r="G1371" s="17">
        <f>3+0+0+0+0+0</f>
        <v>3</v>
      </c>
      <c r="H1371" s="17">
        <f>89+107+74+482+11+0</f>
        <v>763</v>
      </c>
      <c r="I1371" s="16">
        <f>H1371/(F1371-G1371)</f>
        <v>18.166666666666668</v>
      </c>
      <c r="J1371" s="17">
        <v>151</v>
      </c>
      <c r="K1371" s="25">
        <f>13+10+52+99.1+5.3</f>
        <v>179.4</v>
      </c>
      <c r="L1371" s="25">
        <f>5+5+11+20+1</f>
        <v>42</v>
      </c>
      <c r="M1371" s="25">
        <f>46+56+181+258+14</f>
        <v>555</v>
      </c>
      <c r="N1371" s="24">
        <f>M1371/L1371</f>
        <v>13.214285714285714</v>
      </c>
      <c r="O1371" s="23"/>
    </row>
    <row r="1372" spans="1:15" s="54" customFormat="1" x14ac:dyDescent="0.2">
      <c r="A1372" s="4"/>
      <c r="B1372" s="2" t="s">
        <v>1188</v>
      </c>
      <c r="C1372" s="2" t="s">
        <v>19</v>
      </c>
      <c r="D1372" s="7">
        <v>3</v>
      </c>
      <c r="E1372" s="7"/>
      <c r="F1372" s="17">
        <v>16</v>
      </c>
      <c r="G1372" s="17">
        <v>2</v>
      </c>
      <c r="H1372" s="17">
        <v>147</v>
      </c>
      <c r="I1372" s="16">
        <f>H1372/(F1372-G1372)</f>
        <v>10.5</v>
      </c>
      <c r="J1372" s="17">
        <v>38</v>
      </c>
      <c r="K1372" s="25">
        <v>45</v>
      </c>
      <c r="L1372" s="25">
        <v>8</v>
      </c>
      <c r="M1372" s="25">
        <v>132</v>
      </c>
      <c r="N1372" s="24">
        <f>M1372/L1372</f>
        <v>16.5</v>
      </c>
      <c r="O1372" s="23"/>
    </row>
    <row r="1373" spans="1:15" s="54" customFormat="1" x14ac:dyDescent="0.2">
      <c r="A1373" s="64"/>
      <c r="B1373" s="58" t="s">
        <v>2638</v>
      </c>
      <c r="C1373" s="58" t="s">
        <v>2639</v>
      </c>
      <c r="D1373" s="59">
        <v>0</v>
      </c>
      <c r="E1373" s="59">
        <v>0</v>
      </c>
      <c r="F1373" s="60">
        <v>11</v>
      </c>
      <c r="G1373" s="60">
        <v>0</v>
      </c>
      <c r="H1373" s="60">
        <v>143</v>
      </c>
      <c r="I1373" s="61">
        <f>H1373/(F1373-G1373)</f>
        <v>13</v>
      </c>
      <c r="J1373" s="60">
        <v>37</v>
      </c>
      <c r="K1373" s="62">
        <v>40</v>
      </c>
      <c r="L1373" s="62">
        <v>6</v>
      </c>
      <c r="M1373" s="62">
        <v>164</v>
      </c>
      <c r="N1373" s="63">
        <f>M1373/L1373</f>
        <v>27.333333333333332</v>
      </c>
      <c r="O1373" s="66" t="s">
        <v>1392</v>
      </c>
    </row>
    <row r="1374" spans="1:15" s="54" customFormat="1" x14ac:dyDescent="0.2">
      <c r="A1374" s="57">
        <v>1312161</v>
      </c>
      <c r="B1374" s="58" t="s">
        <v>2603</v>
      </c>
      <c r="C1374" s="58" t="s">
        <v>1902</v>
      </c>
      <c r="D1374" s="59">
        <v>9</v>
      </c>
      <c r="E1374" s="59">
        <v>0</v>
      </c>
      <c r="F1374" s="60">
        <f>7+9</f>
        <v>16</v>
      </c>
      <c r="G1374" s="60">
        <v>1</v>
      </c>
      <c r="H1374" s="60">
        <f>86+211</f>
        <v>297</v>
      </c>
      <c r="I1374" s="61">
        <f>H1374/(F1374-G1374)</f>
        <v>19.8</v>
      </c>
      <c r="J1374" s="60">
        <v>42</v>
      </c>
      <c r="K1374" s="62">
        <v>3</v>
      </c>
      <c r="L1374" s="62">
        <v>1</v>
      </c>
      <c r="M1374" s="62">
        <v>19</v>
      </c>
      <c r="N1374" s="63">
        <f>M1374/L1374</f>
        <v>19</v>
      </c>
      <c r="O1374" s="66" t="s">
        <v>2689</v>
      </c>
    </row>
    <row r="1375" spans="1:15" s="54" customFormat="1" x14ac:dyDescent="0.2">
      <c r="A1375" s="84">
        <v>1455773</v>
      </c>
      <c r="B1375" s="2" t="s">
        <v>2238</v>
      </c>
      <c r="C1375" s="2" t="s">
        <v>2239</v>
      </c>
      <c r="D1375" s="7">
        <f>0</f>
        <v>0</v>
      </c>
      <c r="E1375" s="7"/>
      <c r="F1375" s="17">
        <f>10</f>
        <v>10</v>
      </c>
      <c r="G1375" s="17">
        <f>5</f>
        <v>5</v>
      </c>
      <c r="H1375" s="17">
        <f>19</f>
        <v>19</v>
      </c>
      <c r="I1375" s="16">
        <f>H1375/(F1375-G1375)</f>
        <v>3.8</v>
      </c>
      <c r="J1375" s="17">
        <v>9</v>
      </c>
      <c r="K1375" s="25"/>
      <c r="L1375" s="25"/>
      <c r="M1375" s="25"/>
      <c r="N1375" s="24" t="e">
        <f>M1375/L1375</f>
        <v>#DIV/0!</v>
      </c>
      <c r="O1375" s="23"/>
    </row>
    <row r="1376" spans="1:15" s="54" customFormat="1" x14ac:dyDescent="0.2">
      <c r="A1376" s="4"/>
      <c r="B1376" s="2" t="s">
        <v>1189</v>
      </c>
      <c r="C1376" s="2" t="s">
        <v>97</v>
      </c>
      <c r="D1376" s="7">
        <f>18+1+1+2+1+4+1</f>
        <v>28</v>
      </c>
      <c r="E1376" s="7"/>
      <c r="F1376" s="17">
        <f>65+3+8+8+6+7+1+9+10</f>
        <v>117</v>
      </c>
      <c r="G1376" s="17">
        <f>8+1+3+5+3+2+2+2</f>
        <v>26</v>
      </c>
      <c r="H1376" s="17">
        <f>603+15+89+29+70+41+81+61</f>
        <v>989</v>
      </c>
      <c r="I1376" s="16">
        <f>H1376/(F1376-G1376)</f>
        <v>10.868131868131869</v>
      </c>
      <c r="J1376" s="17">
        <v>81</v>
      </c>
      <c r="K1376" s="25">
        <f>658+133+131+141+96+98+9+24+70+127</f>
        <v>1487</v>
      </c>
      <c r="L1376" s="25">
        <f>110+33+23+16+11+18+1+3+6+30</f>
        <v>251</v>
      </c>
      <c r="M1376" s="25">
        <f>2704+458+497+412+325+373+50+57+187+480</f>
        <v>5543</v>
      </c>
      <c r="N1376" s="24">
        <f>M1376/L1376</f>
        <v>22.083665338645417</v>
      </c>
      <c r="O1376" s="23"/>
    </row>
    <row r="1377" spans="1:15" s="54" customFormat="1" x14ac:dyDescent="0.2">
      <c r="A1377" s="84">
        <v>1890712</v>
      </c>
      <c r="B1377" s="2" t="s">
        <v>2240</v>
      </c>
      <c r="C1377" s="2" t="s">
        <v>2241</v>
      </c>
      <c r="D1377" s="7">
        <f>0</f>
        <v>0</v>
      </c>
      <c r="E1377" s="7"/>
      <c r="F1377" s="17">
        <f>8</f>
        <v>8</v>
      </c>
      <c r="G1377" s="17">
        <f>4</f>
        <v>4</v>
      </c>
      <c r="H1377" s="17">
        <f>5</f>
        <v>5</v>
      </c>
      <c r="I1377" s="16">
        <f>H1377/(F1377-G1377)</f>
        <v>1.25</v>
      </c>
      <c r="J1377" s="17" t="s">
        <v>271</v>
      </c>
      <c r="K1377" s="25">
        <f>14</f>
        <v>14</v>
      </c>
      <c r="L1377" s="25">
        <f>3</f>
        <v>3</v>
      </c>
      <c r="M1377" s="25">
        <f>57</f>
        <v>57</v>
      </c>
      <c r="N1377" s="24">
        <f>M1377/L1377</f>
        <v>19</v>
      </c>
      <c r="O1377" s="49" t="s">
        <v>1809</v>
      </c>
    </row>
    <row r="1378" spans="1:15" s="54" customFormat="1" x14ac:dyDescent="0.2">
      <c r="A1378" s="84">
        <v>1449682</v>
      </c>
      <c r="B1378" s="86" t="s">
        <v>1596</v>
      </c>
      <c r="C1378" s="2" t="s">
        <v>1597</v>
      </c>
      <c r="D1378" s="7">
        <f>4</f>
        <v>4</v>
      </c>
      <c r="E1378" s="7">
        <f>0</f>
        <v>0</v>
      </c>
      <c r="F1378" s="17">
        <f>4</f>
        <v>4</v>
      </c>
      <c r="G1378" s="17">
        <f>1</f>
        <v>1</v>
      </c>
      <c r="H1378" s="17">
        <f>30</f>
        <v>30</v>
      </c>
      <c r="I1378" s="16">
        <f>H1378/(F1378-G1378)</f>
        <v>10</v>
      </c>
      <c r="J1378" s="17">
        <v>16</v>
      </c>
      <c r="K1378" s="25">
        <f>172.2</f>
        <v>172.2</v>
      </c>
      <c r="L1378" s="25">
        <f>38</f>
        <v>38</v>
      </c>
      <c r="M1378" s="25">
        <f>455</f>
        <v>455</v>
      </c>
      <c r="N1378" s="24">
        <f>M1378/L1378</f>
        <v>11.973684210526315</v>
      </c>
      <c r="O1378" s="49" t="s">
        <v>1648</v>
      </c>
    </row>
    <row r="1379" spans="1:15" s="54" customFormat="1" x14ac:dyDescent="0.2">
      <c r="A1379" s="84">
        <v>1518837</v>
      </c>
      <c r="B1379" s="2" t="s">
        <v>1990</v>
      </c>
      <c r="C1379" s="2" t="s">
        <v>1991</v>
      </c>
      <c r="D1379" s="7">
        <f>0</f>
        <v>0</v>
      </c>
      <c r="E1379" s="7">
        <f>0</f>
        <v>0</v>
      </c>
      <c r="F1379" s="17"/>
      <c r="G1379" s="17"/>
      <c r="H1379" s="17"/>
      <c r="I1379" s="16" t="e">
        <f>H1379/(F1379-G1379)</f>
        <v>#DIV/0!</v>
      </c>
      <c r="J1379" s="17"/>
      <c r="K1379" s="25">
        <f>13</f>
        <v>13</v>
      </c>
      <c r="L1379" s="25">
        <f>2</f>
        <v>2</v>
      </c>
      <c r="M1379" s="25">
        <f>54</f>
        <v>54</v>
      </c>
      <c r="N1379" s="24">
        <f>M1379/L1379</f>
        <v>27</v>
      </c>
      <c r="O1379" s="49" t="s">
        <v>1643</v>
      </c>
    </row>
    <row r="1380" spans="1:15" s="54" customFormat="1" x14ac:dyDescent="0.2">
      <c r="A1380" s="64">
        <v>1053386</v>
      </c>
      <c r="B1380" s="58" t="s">
        <v>2574</v>
      </c>
      <c r="C1380" s="58" t="s">
        <v>78</v>
      </c>
      <c r="D1380" s="59">
        <f>2</f>
        <v>2</v>
      </c>
      <c r="E1380" s="59">
        <v>0</v>
      </c>
      <c r="F1380" s="60">
        <f>2+6</f>
        <v>8</v>
      </c>
      <c r="G1380" s="60">
        <f>1+1</f>
        <v>2</v>
      </c>
      <c r="H1380" s="60">
        <f>10+34</f>
        <v>44</v>
      </c>
      <c r="I1380" s="61">
        <f>H1380/(F1380-G1380)</f>
        <v>7.333333333333333</v>
      </c>
      <c r="J1380" s="60">
        <v>18</v>
      </c>
      <c r="K1380" s="62">
        <v>8</v>
      </c>
      <c r="L1380" s="62">
        <v>0</v>
      </c>
      <c r="M1380" s="62">
        <v>54</v>
      </c>
      <c r="N1380" s="63" t="e">
        <f>M1380/L1380</f>
        <v>#DIV/0!</v>
      </c>
      <c r="O1380" s="66"/>
    </row>
    <row r="1381" spans="1:15" s="54" customFormat="1" x14ac:dyDescent="0.2">
      <c r="A1381" s="4"/>
      <c r="B1381" s="2" t="s">
        <v>1190</v>
      </c>
      <c r="C1381" s="2" t="s">
        <v>14</v>
      </c>
      <c r="D1381" s="7">
        <v>1</v>
      </c>
      <c r="E1381" s="7"/>
      <c r="F1381" s="17">
        <v>3</v>
      </c>
      <c r="G1381" s="17"/>
      <c r="H1381" s="17">
        <v>47</v>
      </c>
      <c r="I1381" s="16">
        <f>H1381/(F1381-G1381)</f>
        <v>15.666666666666666</v>
      </c>
      <c r="J1381" s="17">
        <v>23</v>
      </c>
      <c r="K1381" s="25">
        <v>17</v>
      </c>
      <c r="L1381" s="25">
        <v>2</v>
      </c>
      <c r="M1381" s="25">
        <v>96</v>
      </c>
      <c r="N1381" s="24">
        <f>M1381/L1381</f>
        <v>48</v>
      </c>
      <c r="O1381" s="23"/>
    </row>
    <row r="1382" spans="1:15" s="54" customFormat="1" x14ac:dyDescent="0.2">
      <c r="A1382" s="4">
        <v>1774389</v>
      </c>
      <c r="B1382" s="2" t="s">
        <v>2423</v>
      </c>
      <c r="C1382" s="2" t="s">
        <v>2424</v>
      </c>
      <c r="D1382" s="7">
        <f>2+4</f>
        <v>6</v>
      </c>
      <c r="E1382" s="7">
        <f>0+0</f>
        <v>0</v>
      </c>
      <c r="F1382" s="17">
        <f>15+11</f>
        <v>26</v>
      </c>
      <c r="G1382" s="17">
        <f>11+6</f>
        <v>17</v>
      </c>
      <c r="H1382" s="17">
        <f>42+59</f>
        <v>101</v>
      </c>
      <c r="I1382" s="16">
        <f>H1382/(F1382-G1382)</f>
        <v>11.222222222222221</v>
      </c>
      <c r="J1382" s="17">
        <v>12</v>
      </c>
      <c r="K1382" s="25">
        <f>42+30.3</f>
        <v>72.3</v>
      </c>
      <c r="L1382" s="25">
        <f>12+14</f>
        <v>26</v>
      </c>
      <c r="M1382" s="25">
        <f>220+143</f>
        <v>363</v>
      </c>
      <c r="N1382" s="24">
        <f>M1382/L1382</f>
        <v>13.961538461538462</v>
      </c>
      <c r="O1382" s="49" t="s">
        <v>1626</v>
      </c>
    </row>
    <row r="1383" spans="1:15" s="54" customFormat="1" x14ac:dyDescent="0.2">
      <c r="A1383" s="84">
        <v>1661635</v>
      </c>
      <c r="B1383" s="2" t="s">
        <v>2242</v>
      </c>
      <c r="C1383" s="2" t="s">
        <v>2243</v>
      </c>
      <c r="D1383" s="7">
        <f>0+1</f>
        <v>1</v>
      </c>
      <c r="E1383" s="7">
        <f>0</f>
        <v>0</v>
      </c>
      <c r="F1383" s="17">
        <f>9+10</f>
        <v>19</v>
      </c>
      <c r="G1383" s="17">
        <f>3+2</f>
        <v>5</v>
      </c>
      <c r="H1383" s="17">
        <f>17+27</f>
        <v>44</v>
      </c>
      <c r="I1383" s="16">
        <f>H1383/(F1383-G1383)</f>
        <v>3.1428571428571428</v>
      </c>
      <c r="J1383" s="17">
        <v>8</v>
      </c>
      <c r="K1383" s="25">
        <f>12+6</f>
        <v>18</v>
      </c>
      <c r="L1383" s="25">
        <f>1+2</f>
        <v>3</v>
      </c>
      <c r="M1383" s="25">
        <f>37+14</f>
        <v>51</v>
      </c>
      <c r="N1383" s="24">
        <f>M1383/L1383</f>
        <v>17</v>
      </c>
      <c r="O1383" s="49" t="s">
        <v>1628</v>
      </c>
    </row>
    <row r="1384" spans="1:15" s="54" customFormat="1" x14ac:dyDescent="0.2">
      <c r="A1384" s="84">
        <v>1863184</v>
      </c>
      <c r="B1384" s="2" t="s">
        <v>1992</v>
      </c>
      <c r="C1384" s="2" t="s">
        <v>1850</v>
      </c>
      <c r="D1384" s="7">
        <f>2</f>
        <v>2</v>
      </c>
      <c r="E1384" s="7">
        <f>0</f>
        <v>0</v>
      </c>
      <c r="F1384" s="17">
        <f>2</f>
        <v>2</v>
      </c>
      <c r="G1384" s="17">
        <f>0</f>
        <v>0</v>
      </c>
      <c r="H1384" s="17">
        <f>14</f>
        <v>14</v>
      </c>
      <c r="I1384" s="16">
        <f>H1384/(F1384-G1384)</f>
        <v>7</v>
      </c>
      <c r="J1384" s="17">
        <v>13</v>
      </c>
      <c r="K1384" s="25">
        <f>17</f>
        <v>17</v>
      </c>
      <c r="L1384" s="25">
        <f>3</f>
        <v>3</v>
      </c>
      <c r="M1384" s="25">
        <f>28</f>
        <v>28</v>
      </c>
      <c r="N1384" s="24">
        <f>M1384/L1384</f>
        <v>9.3333333333333339</v>
      </c>
      <c r="O1384" s="49" t="s">
        <v>1795</v>
      </c>
    </row>
    <row r="1385" spans="1:15" s="54" customFormat="1" x14ac:dyDescent="0.2">
      <c r="A1385" s="4"/>
      <c r="B1385" s="2" t="s">
        <v>1191</v>
      </c>
      <c r="C1385" s="2" t="s">
        <v>9</v>
      </c>
      <c r="D1385" s="7">
        <v>7</v>
      </c>
      <c r="E1385" s="7"/>
      <c r="F1385" s="17">
        <v>16</v>
      </c>
      <c r="G1385" s="17">
        <v>4</v>
      </c>
      <c r="H1385" s="17">
        <v>42</v>
      </c>
      <c r="I1385" s="16">
        <f>H1385/(F1385-G1385)</f>
        <v>3.5</v>
      </c>
      <c r="J1385" s="17">
        <v>5</v>
      </c>
      <c r="K1385" s="25">
        <v>28</v>
      </c>
      <c r="L1385" s="25">
        <v>5</v>
      </c>
      <c r="M1385" s="25">
        <v>73</v>
      </c>
      <c r="N1385" s="24">
        <f>M1385/L1385</f>
        <v>14.6</v>
      </c>
      <c r="O1385" s="23"/>
    </row>
    <row r="1386" spans="1:15" s="54" customFormat="1" x14ac:dyDescent="0.2">
      <c r="A1386" s="4"/>
      <c r="B1386" s="2" t="s">
        <v>1193</v>
      </c>
      <c r="C1386" s="2" t="s">
        <v>11</v>
      </c>
      <c r="D1386" s="7">
        <f>3+1</f>
        <v>4</v>
      </c>
      <c r="E1386" s="7"/>
      <c r="F1386" s="17">
        <f>9+9+3+1</f>
        <v>22</v>
      </c>
      <c r="G1386" s="17">
        <v>1</v>
      </c>
      <c r="H1386" s="17">
        <f>22+27+8</f>
        <v>57</v>
      </c>
      <c r="I1386" s="16">
        <f>H1386/(F1386-G1386)</f>
        <v>2.7142857142857144</v>
      </c>
      <c r="J1386" s="17">
        <v>15</v>
      </c>
      <c r="K1386" s="25">
        <f>44+32</f>
        <v>76</v>
      </c>
      <c r="L1386" s="25">
        <f>10+3</f>
        <v>13</v>
      </c>
      <c r="M1386" s="25">
        <f>157+141</f>
        <v>298</v>
      </c>
      <c r="N1386" s="24">
        <f>M1386/L1386</f>
        <v>22.923076923076923</v>
      </c>
      <c r="O1386" s="23"/>
    </row>
    <row r="1387" spans="1:15" s="54" customFormat="1" x14ac:dyDescent="0.2">
      <c r="A1387" s="4"/>
      <c r="B1387" s="2" t="s">
        <v>1192</v>
      </c>
      <c r="C1387" s="2" t="s">
        <v>9</v>
      </c>
      <c r="D1387" s="7">
        <v>8</v>
      </c>
      <c r="E1387" s="7"/>
      <c r="F1387" s="17">
        <v>26</v>
      </c>
      <c r="G1387" s="17">
        <v>4</v>
      </c>
      <c r="H1387" s="17">
        <v>84</v>
      </c>
      <c r="I1387" s="16">
        <f>H1387/(F1387-G1387)</f>
        <v>3.8181818181818183</v>
      </c>
      <c r="J1387" s="17">
        <v>17</v>
      </c>
      <c r="K1387" s="25">
        <v>55</v>
      </c>
      <c r="L1387" s="25">
        <v>9</v>
      </c>
      <c r="M1387" s="25">
        <v>166</v>
      </c>
      <c r="N1387" s="24">
        <f>M1387/L1387</f>
        <v>18.444444444444443</v>
      </c>
      <c r="O1387" s="23"/>
    </row>
    <row r="1388" spans="1:15" s="54" customFormat="1" x14ac:dyDescent="0.2">
      <c r="A1388" s="4"/>
      <c r="B1388" s="2" t="s">
        <v>1194</v>
      </c>
      <c r="C1388" s="2" t="s">
        <v>15</v>
      </c>
      <c r="D1388" s="7"/>
      <c r="E1388" s="7"/>
      <c r="F1388" s="17">
        <v>1</v>
      </c>
      <c r="G1388" s="17"/>
      <c r="H1388" s="17">
        <v>104</v>
      </c>
      <c r="I1388" s="16">
        <f>H1388/(F1388-G1388)</f>
        <v>104</v>
      </c>
      <c r="J1388" s="17">
        <v>104</v>
      </c>
      <c r="K1388" s="25">
        <v>2</v>
      </c>
      <c r="L1388" s="25">
        <v>0</v>
      </c>
      <c r="M1388" s="25">
        <v>1</v>
      </c>
      <c r="N1388" s="24" t="e">
        <f>M1388/L1388</f>
        <v>#DIV/0!</v>
      </c>
      <c r="O1388" s="23"/>
    </row>
    <row r="1389" spans="1:15" s="54" customFormat="1" x14ac:dyDescent="0.2">
      <c r="A1389" s="4"/>
      <c r="B1389" s="2" t="s">
        <v>1195</v>
      </c>
      <c r="C1389" s="2" t="s">
        <v>136</v>
      </c>
      <c r="D1389" s="7"/>
      <c r="E1389" s="7"/>
      <c r="F1389" s="17">
        <v>7</v>
      </c>
      <c r="G1389" s="17">
        <v>3</v>
      </c>
      <c r="H1389" s="17">
        <v>18</v>
      </c>
      <c r="I1389" s="16">
        <f>H1389/(F1389-G1389)</f>
        <v>4.5</v>
      </c>
      <c r="J1389" s="17">
        <v>9</v>
      </c>
      <c r="K1389" s="25">
        <v>2</v>
      </c>
      <c r="L1389" s="25">
        <v>1</v>
      </c>
      <c r="M1389" s="25">
        <v>10</v>
      </c>
      <c r="N1389" s="24">
        <f>M1389/L1389</f>
        <v>10</v>
      </c>
      <c r="O1389" s="23"/>
    </row>
    <row r="1390" spans="1:15" s="54" customFormat="1" x14ac:dyDescent="0.2">
      <c r="A1390" s="4"/>
      <c r="B1390" s="2" t="s">
        <v>1196</v>
      </c>
      <c r="C1390" s="2" t="s">
        <v>15</v>
      </c>
      <c r="D1390" s="7">
        <v>1</v>
      </c>
      <c r="E1390" s="7"/>
      <c r="F1390" s="17">
        <v>6</v>
      </c>
      <c r="G1390" s="17">
        <v>3</v>
      </c>
      <c r="H1390" s="17">
        <v>21</v>
      </c>
      <c r="I1390" s="16">
        <f>H1390/(F1390-G1390)</f>
        <v>7</v>
      </c>
      <c r="J1390" s="17">
        <v>7</v>
      </c>
      <c r="K1390" s="25">
        <v>116</v>
      </c>
      <c r="L1390" s="25">
        <v>15</v>
      </c>
      <c r="M1390" s="25">
        <v>296</v>
      </c>
      <c r="N1390" s="24">
        <f>M1390/L1390</f>
        <v>19.733333333333334</v>
      </c>
      <c r="O1390" s="23"/>
    </row>
    <row r="1391" spans="1:15" s="54" customFormat="1" x14ac:dyDescent="0.2">
      <c r="A1391" s="4"/>
      <c r="B1391" s="2" t="s">
        <v>1197</v>
      </c>
      <c r="C1391" s="2" t="s">
        <v>15</v>
      </c>
      <c r="D1391" s="7">
        <v>17</v>
      </c>
      <c r="E1391" s="7"/>
      <c r="F1391" s="17">
        <v>73</v>
      </c>
      <c r="G1391" s="17">
        <v>13</v>
      </c>
      <c r="H1391" s="17">
        <v>400</v>
      </c>
      <c r="I1391" s="16">
        <f>H1391/(F1391-G1391)</f>
        <v>6.666666666666667</v>
      </c>
      <c r="J1391" s="17">
        <v>31</v>
      </c>
      <c r="K1391" s="25">
        <v>169.4</v>
      </c>
      <c r="L1391" s="25">
        <v>37</v>
      </c>
      <c r="M1391" s="25">
        <v>574</v>
      </c>
      <c r="N1391" s="24">
        <f>M1391/L1391</f>
        <v>15.513513513513514</v>
      </c>
      <c r="O1391" s="23"/>
    </row>
    <row r="1392" spans="1:15" s="54" customFormat="1" x14ac:dyDescent="0.2">
      <c r="A1392" s="84">
        <v>1054603</v>
      </c>
      <c r="B1392" s="86" t="s">
        <v>1598</v>
      </c>
      <c r="C1392" s="2" t="s">
        <v>101</v>
      </c>
      <c r="D1392" s="7">
        <f>0</f>
        <v>0</v>
      </c>
      <c r="E1392" s="7">
        <f>0</f>
        <v>0</v>
      </c>
      <c r="F1392" s="17">
        <f>1</f>
        <v>1</v>
      </c>
      <c r="G1392" s="17">
        <f>0</f>
        <v>0</v>
      </c>
      <c r="H1392" s="17">
        <f>2</f>
        <v>2</v>
      </c>
      <c r="I1392" s="16">
        <f>H1392/(F1392-G1392)</f>
        <v>2</v>
      </c>
      <c r="J1392" s="17">
        <v>2</v>
      </c>
      <c r="K1392" s="25">
        <f>3</f>
        <v>3</v>
      </c>
      <c r="L1392" s="25">
        <f>0</f>
        <v>0</v>
      </c>
      <c r="M1392" s="25">
        <f>9</f>
        <v>9</v>
      </c>
      <c r="N1392" s="24" t="e">
        <f>M1392/L1392</f>
        <v>#DIV/0!</v>
      </c>
      <c r="O1392" s="49" t="s">
        <v>1506</v>
      </c>
    </row>
    <row r="1393" spans="1:15" s="54" customFormat="1" x14ac:dyDescent="0.2">
      <c r="A1393" s="4"/>
      <c r="B1393" s="2" t="s">
        <v>1198</v>
      </c>
      <c r="C1393" s="2" t="s">
        <v>16</v>
      </c>
      <c r="D1393" s="7">
        <v>0</v>
      </c>
      <c r="E1393" s="7"/>
      <c r="F1393" s="17">
        <v>10</v>
      </c>
      <c r="G1393" s="17">
        <v>7</v>
      </c>
      <c r="H1393" s="17">
        <v>30</v>
      </c>
      <c r="I1393" s="16">
        <f>H1393/(F1393-G1393)</f>
        <v>10</v>
      </c>
      <c r="J1393" s="17"/>
      <c r="K1393" s="25">
        <v>18</v>
      </c>
      <c r="L1393" s="25">
        <v>3</v>
      </c>
      <c r="M1393" s="25">
        <v>60</v>
      </c>
      <c r="N1393" s="24">
        <f>M1393/L1393</f>
        <v>20</v>
      </c>
      <c r="O1393" s="23"/>
    </row>
    <row r="1394" spans="1:15" s="54" customFormat="1" x14ac:dyDescent="0.2">
      <c r="A1394" s="4">
        <v>2049463</v>
      </c>
      <c r="B1394" s="77" t="s">
        <v>2425</v>
      </c>
      <c r="C1394" s="2" t="s">
        <v>2426</v>
      </c>
      <c r="D1394" s="7">
        <f>5</f>
        <v>5</v>
      </c>
      <c r="E1394" s="7">
        <f>0</f>
        <v>0</v>
      </c>
      <c r="F1394" s="17">
        <f>14</f>
        <v>14</v>
      </c>
      <c r="G1394" s="17">
        <f>2</f>
        <v>2</v>
      </c>
      <c r="H1394" s="17">
        <f>81</f>
        <v>81</v>
      </c>
      <c r="I1394" s="16">
        <f>H1394/(F1394-G1394)</f>
        <v>6.75</v>
      </c>
      <c r="J1394" s="17" t="s">
        <v>446</v>
      </c>
      <c r="K1394" s="25">
        <f>69.5</f>
        <v>69.5</v>
      </c>
      <c r="L1394" s="25">
        <f>20</f>
        <v>20</v>
      </c>
      <c r="M1394" s="25">
        <f>154</f>
        <v>154</v>
      </c>
      <c r="N1394" s="24">
        <f>M1394/L1394</f>
        <v>7.7</v>
      </c>
      <c r="O1394" s="49" t="s">
        <v>1793</v>
      </c>
    </row>
    <row r="1395" spans="1:15" s="54" customFormat="1" x14ac:dyDescent="0.2">
      <c r="A1395" s="4"/>
      <c r="B1395" s="2" t="s">
        <v>1199</v>
      </c>
      <c r="C1395" s="2" t="s">
        <v>362</v>
      </c>
      <c r="D1395" s="7">
        <f>0</f>
        <v>0</v>
      </c>
      <c r="E1395" s="7"/>
      <c r="F1395" s="17">
        <f>4</f>
        <v>4</v>
      </c>
      <c r="G1395" s="17">
        <f>3</f>
        <v>3</v>
      </c>
      <c r="H1395" s="17">
        <f>20</f>
        <v>20</v>
      </c>
      <c r="I1395" s="16">
        <f>H1395/(F1395-G1395)</f>
        <v>20</v>
      </c>
      <c r="J1395" s="17" t="s">
        <v>366</v>
      </c>
      <c r="K1395" s="25">
        <f>16</f>
        <v>16</v>
      </c>
      <c r="L1395" s="25">
        <f>1</f>
        <v>1</v>
      </c>
      <c r="M1395" s="25">
        <f>35</f>
        <v>35</v>
      </c>
      <c r="N1395" s="24">
        <f>M1395/L1395</f>
        <v>35</v>
      </c>
      <c r="O1395" s="23"/>
    </row>
    <row r="1396" spans="1:15" s="54" customFormat="1" x14ac:dyDescent="0.2">
      <c r="A1396" s="57"/>
      <c r="B1396" s="58" t="s">
        <v>2736</v>
      </c>
      <c r="C1396" s="58" t="s">
        <v>201</v>
      </c>
      <c r="D1396" s="59">
        <v>0</v>
      </c>
      <c r="E1396" s="59"/>
      <c r="F1396" s="60">
        <v>14</v>
      </c>
      <c r="G1396" s="60">
        <v>0</v>
      </c>
      <c r="H1396" s="60">
        <v>226</v>
      </c>
      <c r="I1396" s="61">
        <f>H1396/(F1396-G1396)</f>
        <v>16.142857142857142</v>
      </c>
      <c r="J1396" s="60">
        <v>60</v>
      </c>
      <c r="K1396" s="62">
        <v>41</v>
      </c>
      <c r="L1396" s="62">
        <v>11</v>
      </c>
      <c r="M1396" s="62">
        <v>165</v>
      </c>
      <c r="N1396" s="63">
        <f>M1396/L1396</f>
        <v>15</v>
      </c>
      <c r="O1396" s="66" t="s">
        <v>2700</v>
      </c>
    </row>
    <row r="1397" spans="1:15" s="54" customFormat="1" x14ac:dyDescent="0.2">
      <c r="A1397" s="4">
        <v>2075760</v>
      </c>
      <c r="B1397" s="2" t="s">
        <v>2427</v>
      </c>
      <c r="C1397" s="2" t="s">
        <v>2428</v>
      </c>
      <c r="D1397" s="7">
        <f>1</f>
        <v>1</v>
      </c>
      <c r="E1397" s="7">
        <f>0</f>
        <v>0</v>
      </c>
      <c r="F1397" s="17">
        <f>4</f>
        <v>4</v>
      </c>
      <c r="G1397" s="17">
        <f>1</f>
        <v>1</v>
      </c>
      <c r="H1397" s="17">
        <f>70</f>
        <v>70</v>
      </c>
      <c r="I1397" s="16">
        <f>H1397/(F1397-G1397)</f>
        <v>23.333333333333332</v>
      </c>
      <c r="J1397" s="17">
        <v>46</v>
      </c>
      <c r="K1397" s="25">
        <f>55</f>
        <v>55</v>
      </c>
      <c r="L1397" s="25">
        <f>7</f>
        <v>7</v>
      </c>
      <c r="M1397" s="25">
        <f>239</f>
        <v>239</v>
      </c>
      <c r="N1397" s="24">
        <f>M1397/L1397</f>
        <v>34.142857142857146</v>
      </c>
      <c r="O1397" s="49" t="s">
        <v>2470</v>
      </c>
    </row>
    <row r="1398" spans="1:15" s="54" customFormat="1" x14ac:dyDescent="0.2">
      <c r="A1398" s="84">
        <v>1745535</v>
      </c>
      <c r="B1398" s="2" t="s">
        <v>1993</v>
      </c>
      <c r="C1398" s="2" t="s">
        <v>1994</v>
      </c>
      <c r="D1398" s="7">
        <f>0+0</f>
        <v>0</v>
      </c>
      <c r="E1398" s="7">
        <f>0</f>
        <v>0</v>
      </c>
      <c r="F1398" s="17">
        <f>7+3</f>
        <v>10</v>
      </c>
      <c r="G1398" s="17">
        <f>0+0</f>
        <v>0</v>
      </c>
      <c r="H1398" s="17">
        <f>109+9</f>
        <v>118</v>
      </c>
      <c r="I1398" s="16">
        <f>H1398/(F1398-G1398)</f>
        <v>11.8</v>
      </c>
      <c r="J1398" s="17">
        <v>34</v>
      </c>
      <c r="K1398" s="25">
        <f>3</f>
        <v>3</v>
      </c>
      <c r="L1398" s="25">
        <f>0</f>
        <v>0</v>
      </c>
      <c r="M1398" s="25">
        <f>19</f>
        <v>19</v>
      </c>
      <c r="N1398" s="24" t="e">
        <f>M1398/L1398</f>
        <v>#DIV/0!</v>
      </c>
      <c r="O1398" s="49" t="s">
        <v>2287</v>
      </c>
    </row>
    <row r="1399" spans="1:15" s="54" customFormat="1" x14ac:dyDescent="0.2">
      <c r="A1399" s="84">
        <v>2266182</v>
      </c>
      <c r="B1399" s="2" t="s">
        <v>2568</v>
      </c>
      <c r="C1399" s="2" t="s">
        <v>201</v>
      </c>
      <c r="D1399" s="7">
        <v>1</v>
      </c>
      <c r="E1399" s="7">
        <v>0</v>
      </c>
      <c r="F1399" s="17">
        <v>8</v>
      </c>
      <c r="G1399" s="17">
        <v>2</v>
      </c>
      <c r="H1399" s="17">
        <v>52</v>
      </c>
      <c r="I1399" s="16">
        <f>H1399/(F1399-G1399)</f>
        <v>8.6666666666666661</v>
      </c>
      <c r="J1399" s="17" t="s">
        <v>430</v>
      </c>
      <c r="K1399" s="25">
        <v>3</v>
      </c>
      <c r="L1399" s="25">
        <v>0</v>
      </c>
      <c r="M1399" s="25">
        <v>31</v>
      </c>
      <c r="N1399" s="24" t="e">
        <f>M1399/L1399</f>
        <v>#DIV/0!</v>
      </c>
      <c r="O1399" s="49"/>
    </row>
    <row r="1400" spans="1:15" s="54" customFormat="1" x14ac:dyDescent="0.2">
      <c r="A1400" s="4"/>
      <c r="B1400" s="2" t="s">
        <v>1200</v>
      </c>
      <c r="C1400" s="2" t="s">
        <v>20</v>
      </c>
      <c r="D1400" s="7"/>
      <c r="E1400" s="7"/>
      <c r="F1400" s="17">
        <v>16</v>
      </c>
      <c r="G1400" s="17">
        <v>2</v>
      </c>
      <c r="H1400" s="17">
        <v>136</v>
      </c>
      <c r="I1400" s="16">
        <f>H1400/(F1400-G1400)</f>
        <v>9.7142857142857135</v>
      </c>
      <c r="J1400" s="17">
        <v>26</v>
      </c>
      <c r="K1400" s="25"/>
      <c r="L1400" s="25"/>
      <c r="M1400" s="25"/>
      <c r="N1400" s="24" t="e">
        <f>M1400/L1400</f>
        <v>#DIV/0!</v>
      </c>
      <c r="O1400" s="23"/>
    </row>
    <row r="1401" spans="1:15" s="54" customFormat="1" x14ac:dyDescent="0.2">
      <c r="A1401" s="57">
        <v>2087423</v>
      </c>
      <c r="B1401" s="58" t="s">
        <v>2429</v>
      </c>
      <c r="C1401" s="58" t="s">
        <v>2064</v>
      </c>
      <c r="D1401" s="59">
        <v>13</v>
      </c>
      <c r="E1401" s="59">
        <f>0+0</f>
        <v>0</v>
      </c>
      <c r="F1401" s="60">
        <v>23</v>
      </c>
      <c r="G1401" s="60">
        <v>8</v>
      </c>
      <c r="H1401" s="60">
        <v>99</v>
      </c>
      <c r="I1401" s="61">
        <f>H1401/(F1401-G1401)</f>
        <v>6.6</v>
      </c>
      <c r="J1401" s="60">
        <v>18</v>
      </c>
      <c r="K1401" s="62">
        <v>218</v>
      </c>
      <c r="L1401" s="62">
        <v>42</v>
      </c>
      <c r="M1401" s="62">
        <v>716</v>
      </c>
      <c r="N1401" s="63">
        <f>M1401/L1401</f>
        <v>17.047619047619047</v>
      </c>
      <c r="O1401" s="66" t="s">
        <v>1376</v>
      </c>
    </row>
    <row r="1402" spans="1:15" s="54" customFormat="1" x14ac:dyDescent="0.2">
      <c r="A1402" s="84">
        <v>1768118</v>
      </c>
      <c r="B1402" s="2" t="s">
        <v>2244</v>
      </c>
      <c r="C1402" s="2" t="s">
        <v>363</v>
      </c>
      <c r="D1402" s="7">
        <f>3</f>
        <v>3</v>
      </c>
      <c r="E1402" s="7"/>
      <c r="F1402" s="17">
        <f>8</f>
        <v>8</v>
      </c>
      <c r="G1402" s="17">
        <f>0</f>
        <v>0</v>
      </c>
      <c r="H1402" s="17">
        <f>17</f>
        <v>17</v>
      </c>
      <c r="I1402" s="16">
        <f>H1402/(F1402-G1402)</f>
        <v>2.125</v>
      </c>
      <c r="J1402" s="17">
        <v>11</v>
      </c>
      <c r="K1402" s="25">
        <f>69</f>
        <v>69</v>
      </c>
      <c r="L1402" s="25">
        <f>11</f>
        <v>11</v>
      </c>
      <c r="M1402" s="25">
        <f>123</f>
        <v>123</v>
      </c>
      <c r="N1402" s="24">
        <f>M1402/L1402</f>
        <v>11.181818181818182</v>
      </c>
      <c r="O1402" s="49" t="s">
        <v>1462</v>
      </c>
    </row>
    <row r="1403" spans="1:15" s="54" customFormat="1" x14ac:dyDescent="0.2">
      <c r="A1403" s="84">
        <v>703250</v>
      </c>
      <c r="B1403" s="86" t="s">
        <v>1599</v>
      </c>
      <c r="C1403" s="2" t="s">
        <v>101</v>
      </c>
      <c r="D1403" s="7">
        <f>14+9+6+4+9+2</f>
        <v>44</v>
      </c>
      <c r="E1403" s="7">
        <f>0+0+0</f>
        <v>0</v>
      </c>
      <c r="F1403" s="17">
        <f>13+13+12+10</f>
        <v>48</v>
      </c>
      <c r="G1403" s="17">
        <f>4+0+0+0</f>
        <v>4</v>
      </c>
      <c r="H1403" s="17">
        <f>490+237+224+110</f>
        <v>1061</v>
      </c>
      <c r="I1403" s="16">
        <f>H1403/(F1403-G1403)</f>
        <v>24.113636363636363</v>
      </c>
      <c r="J1403" s="17" t="s">
        <v>332</v>
      </c>
      <c r="K1403" s="25">
        <f>13+16+17+4</f>
        <v>50</v>
      </c>
      <c r="L1403" s="25">
        <f>0+0+2+1</f>
        <v>3</v>
      </c>
      <c r="M1403" s="25">
        <f>68+79+37+15</f>
        <v>199</v>
      </c>
      <c r="N1403" s="24">
        <f>M1403/L1403</f>
        <v>66.333333333333329</v>
      </c>
      <c r="O1403" s="49" t="s">
        <v>1812</v>
      </c>
    </row>
    <row r="1404" spans="1:15" s="54" customFormat="1" x14ac:dyDescent="0.2">
      <c r="A1404" s="4"/>
      <c r="B1404" s="4" t="s">
        <v>1201</v>
      </c>
      <c r="C1404" s="2" t="s">
        <v>129</v>
      </c>
      <c r="D1404" s="7">
        <f>2+0</f>
        <v>2</v>
      </c>
      <c r="E1404" s="7"/>
      <c r="F1404" s="17">
        <f>6+1</f>
        <v>7</v>
      </c>
      <c r="G1404" s="17">
        <f>2+0</f>
        <v>2</v>
      </c>
      <c r="H1404" s="17">
        <f>7+0</f>
        <v>7</v>
      </c>
      <c r="I1404" s="16">
        <f>H1404/(F1404-G1404)</f>
        <v>1.4</v>
      </c>
      <c r="J1404" s="17">
        <v>3</v>
      </c>
      <c r="K1404" s="25">
        <f>46+16</f>
        <v>62</v>
      </c>
      <c r="L1404" s="25">
        <f>6+3</f>
        <v>9</v>
      </c>
      <c r="M1404" s="25">
        <f>140+31</f>
        <v>171</v>
      </c>
      <c r="N1404" s="24">
        <f>M1404/L1404</f>
        <v>19</v>
      </c>
      <c r="O1404" s="23"/>
    </row>
    <row r="1405" spans="1:15" s="54" customFormat="1" x14ac:dyDescent="0.2">
      <c r="A1405" s="57"/>
      <c r="B1405" s="58" t="s">
        <v>2726</v>
      </c>
      <c r="C1405" s="58" t="s">
        <v>2727</v>
      </c>
      <c r="D1405" s="59">
        <v>0</v>
      </c>
      <c r="E1405" s="59"/>
      <c r="F1405" s="60">
        <v>2</v>
      </c>
      <c r="G1405" s="60">
        <v>1</v>
      </c>
      <c r="H1405" s="60">
        <v>1</v>
      </c>
      <c r="I1405" s="61">
        <f>H1405/(F1405-G1405)</f>
        <v>1</v>
      </c>
      <c r="J1405" s="60">
        <v>1</v>
      </c>
      <c r="K1405" s="62">
        <v>87</v>
      </c>
      <c r="L1405" s="62">
        <v>15</v>
      </c>
      <c r="M1405" s="62">
        <v>238</v>
      </c>
      <c r="N1405" s="63">
        <f>M1405/L1405</f>
        <v>15.866666666666667</v>
      </c>
      <c r="O1405" s="66" t="s">
        <v>2647</v>
      </c>
    </row>
    <row r="1406" spans="1:15" s="54" customFormat="1" x14ac:dyDescent="0.2">
      <c r="A1406" s="4">
        <v>2041934</v>
      </c>
      <c r="B1406" s="2" t="s">
        <v>2430</v>
      </c>
      <c r="C1406" s="2" t="s">
        <v>2431</v>
      </c>
      <c r="D1406" s="7">
        <f>0</f>
        <v>0</v>
      </c>
      <c r="E1406" s="7">
        <v>0</v>
      </c>
      <c r="F1406" s="17">
        <f>13</f>
        <v>13</v>
      </c>
      <c r="G1406" s="17">
        <f>5</f>
        <v>5</v>
      </c>
      <c r="H1406" s="17">
        <f>35</f>
        <v>35</v>
      </c>
      <c r="I1406" s="16">
        <f>H1406/(F1406-G1406)</f>
        <v>4.375</v>
      </c>
      <c r="J1406" s="17" t="s">
        <v>271</v>
      </c>
      <c r="K1406" s="25">
        <f>37</f>
        <v>37</v>
      </c>
      <c r="L1406" s="25">
        <f>14</f>
        <v>14</v>
      </c>
      <c r="M1406" s="25">
        <f>172</f>
        <v>172</v>
      </c>
      <c r="N1406" s="24">
        <f>M1406/L1406</f>
        <v>12.285714285714286</v>
      </c>
      <c r="O1406" s="49" t="s">
        <v>1357</v>
      </c>
    </row>
    <row r="1407" spans="1:15" s="54" customFormat="1" x14ac:dyDescent="0.2">
      <c r="A1407" s="64">
        <v>887791</v>
      </c>
      <c r="B1407" s="58" t="s">
        <v>2452</v>
      </c>
      <c r="C1407" s="58" t="s">
        <v>2453</v>
      </c>
      <c r="D1407" s="59">
        <f>0+0+0+1+3</f>
        <v>4</v>
      </c>
      <c r="E1407" s="59">
        <v>0</v>
      </c>
      <c r="F1407" s="60">
        <f>10+10+8+12+9</f>
        <v>49</v>
      </c>
      <c r="G1407" s="60">
        <f>2+1+2+1</f>
        <v>6</v>
      </c>
      <c r="H1407" s="60">
        <f>51+197+128+232+131</f>
        <v>739</v>
      </c>
      <c r="I1407" s="61">
        <f>H1407/(F1407-G1407)</f>
        <v>17.186046511627907</v>
      </c>
      <c r="J1407" s="60">
        <v>73</v>
      </c>
      <c r="K1407" s="62">
        <f>29.3+46+47+98+52.2</f>
        <v>272.5</v>
      </c>
      <c r="L1407" s="62">
        <f>8+20+11+34+8</f>
        <v>81</v>
      </c>
      <c r="M1407" s="62">
        <f>96+216+174+314+238</f>
        <v>1038</v>
      </c>
      <c r="N1407" s="63">
        <f>M1407/L1407</f>
        <v>12.814814814814815</v>
      </c>
      <c r="O1407" s="66" t="s">
        <v>2288</v>
      </c>
    </row>
    <row r="1408" spans="1:15" s="54" customFormat="1" x14ac:dyDescent="0.2">
      <c r="A1408" s="84">
        <v>1311314</v>
      </c>
      <c r="B1408" s="86" t="s">
        <v>1600</v>
      </c>
      <c r="C1408" s="2" t="s">
        <v>1601</v>
      </c>
      <c r="D1408" s="7">
        <f>3+2+7+2+1+3</f>
        <v>18</v>
      </c>
      <c r="E1408" s="7">
        <f>0+0+0+0+0</f>
        <v>0</v>
      </c>
      <c r="F1408" s="17">
        <f>10+11+11+8+10+10</f>
        <v>60</v>
      </c>
      <c r="G1408" s="17">
        <f>0+0+0+1+3+2</f>
        <v>6</v>
      </c>
      <c r="H1408" s="17">
        <f>96+204+91+90+86+108</f>
        <v>675</v>
      </c>
      <c r="I1408" s="16">
        <f>H1408/(F1408-G1408)</f>
        <v>12.5</v>
      </c>
      <c r="J1408" s="17">
        <v>54</v>
      </c>
      <c r="K1408" s="25">
        <f>1</f>
        <v>1</v>
      </c>
      <c r="L1408" s="25">
        <f>0</f>
        <v>0</v>
      </c>
      <c r="M1408" s="25">
        <f>8</f>
        <v>8</v>
      </c>
      <c r="N1408" s="24" t="e">
        <f>M1408/L1408</f>
        <v>#DIV/0!</v>
      </c>
      <c r="O1408" s="23"/>
    </row>
    <row r="1409" spans="1:15" s="54" customFormat="1" x14ac:dyDescent="0.2">
      <c r="A1409" s="4">
        <v>2065061</v>
      </c>
      <c r="B1409" s="2" t="s">
        <v>2432</v>
      </c>
      <c r="C1409" s="2" t="s">
        <v>2433</v>
      </c>
      <c r="D1409" s="7">
        <f>0+0</f>
        <v>0</v>
      </c>
      <c r="E1409" s="7">
        <f>0+0</f>
        <v>0</v>
      </c>
      <c r="F1409" s="17">
        <f>2+7</f>
        <v>9</v>
      </c>
      <c r="G1409" s="17">
        <f>1+1</f>
        <v>2</v>
      </c>
      <c r="H1409" s="17">
        <f>4+29</f>
        <v>33</v>
      </c>
      <c r="I1409" s="16">
        <f>H1409/(F1409-G1409)</f>
        <v>4.7142857142857144</v>
      </c>
      <c r="J1409" s="17">
        <v>9</v>
      </c>
      <c r="K1409" s="25">
        <f>5+18</f>
        <v>23</v>
      </c>
      <c r="L1409" s="25">
        <f>0+1</f>
        <v>1</v>
      </c>
      <c r="M1409" s="25">
        <f>23+102</f>
        <v>125</v>
      </c>
      <c r="N1409" s="24">
        <f>M1409/L1409</f>
        <v>125</v>
      </c>
      <c r="O1409" s="49" t="s">
        <v>1639</v>
      </c>
    </row>
    <row r="1410" spans="1:15" s="54" customFormat="1" x14ac:dyDescent="0.2">
      <c r="A1410" s="4">
        <v>2311064</v>
      </c>
      <c r="B1410" s="2" t="s">
        <v>2578</v>
      </c>
      <c r="C1410" s="2" t="s">
        <v>1433</v>
      </c>
      <c r="D1410" s="7">
        <v>0</v>
      </c>
      <c r="E1410" s="7">
        <v>0</v>
      </c>
      <c r="F1410" s="17">
        <v>1</v>
      </c>
      <c r="G1410" s="17">
        <v>0</v>
      </c>
      <c r="H1410" s="17">
        <v>6</v>
      </c>
      <c r="I1410" s="16">
        <f>H1410/(F1410-G1410)</f>
        <v>6</v>
      </c>
      <c r="J1410" s="17" t="s">
        <v>281</v>
      </c>
      <c r="K1410" s="25">
        <v>1</v>
      </c>
      <c r="L1410" s="25">
        <v>0</v>
      </c>
      <c r="M1410" s="25">
        <v>8</v>
      </c>
      <c r="N1410" s="24" t="e">
        <f>M1410/L1410</f>
        <v>#DIV/0!</v>
      </c>
      <c r="O1410" s="49" t="s">
        <v>1634</v>
      </c>
    </row>
    <row r="1411" spans="1:15" s="54" customFormat="1" x14ac:dyDescent="0.2">
      <c r="A1411" s="4"/>
      <c r="B1411" s="2" t="s">
        <v>1202</v>
      </c>
      <c r="C1411" s="2" t="s">
        <v>91</v>
      </c>
      <c r="D1411" s="7">
        <f>1+2+1+1+4</f>
        <v>9</v>
      </c>
      <c r="E1411" s="7"/>
      <c r="F1411" s="17">
        <f>11+8+8+1+6+1+1</f>
        <v>36</v>
      </c>
      <c r="G1411" s="17">
        <f>2+2+1</f>
        <v>5</v>
      </c>
      <c r="H1411" s="17">
        <f>117+45+77+37+1+6</f>
        <v>283</v>
      </c>
      <c r="I1411" s="16">
        <f>H1411/(F1411-G1411)</f>
        <v>9.129032258064516</v>
      </c>
      <c r="J1411" s="17">
        <v>31</v>
      </c>
      <c r="K1411" s="25">
        <f>61+71+76+13+48+7+2</f>
        <v>278</v>
      </c>
      <c r="L1411" s="25">
        <f>16+24+18+7+12+1</f>
        <v>78</v>
      </c>
      <c r="M1411" s="25">
        <f>95+99+145+29+132+17+19</f>
        <v>536</v>
      </c>
      <c r="N1411" s="24">
        <f>M1411/L1411</f>
        <v>6.8717948717948714</v>
      </c>
      <c r="O1411" s="23"/>
    </row>
    <row r="1412" spans="1:15" s="54" customFormat="1" x14ac:dyDescent="0.2">
      <c r="A1412" s="4"/>
      <c r="B1412" s="2" t="s">
        <v>1203</v>
      </c>
      <c r="C1412" s="2" t="s">
        <v>39</v>
      </c>
      <c r="D1412" s="7">
        <f>1+2+0+2</f>
        <v>5</v>
      </c>
      <c r="E1412" s="7"/>
      <c r="F1412" s="17">
        <f>8+7+1+7</f>
        <v>23</v>
      </c>
      <c r="G1412" s="17">
        <f>1+4+0+1</f>
        <v>6</v>
      </c>
      <c r="H1412" s="17">
        <f>38+9+1+46</f>
        <v>94</v>
      </c>
      <c r="I1412" s="16">
        <f>H1412/(F1412-G1412)</f>
        <v>5.5294117647058822</v>
      </c>
      <c r="J1412" s="17">
        <v>21</v>
      </c>
      <c r="K1412" s="25">
        <f>14+12+17</f>
        <v>43</v>
      </c>
      <c r="L1412" s="25">
        <f>3+4+3</f>
        <v>10</v>
      </c>
      <c r="M1412" s="25">
        <f>73+83+101</f>
        <v>257</v>
      </c>
      <c r="N1412" s="24">
        <f>M1412/L1412</f>
        <v>25.7</v>
      </c>
      <c r="O1412" s="23"/>
    </row>
    <row r="1413" spans="1:15" s="54" customFormat="1" x14ac:dyDescent="0.2">
      <c r="A1413" s="84">
        <v>2014902</v>
      </c>
      <c r="B1413" s="2" t="s">
        <v>2245</v>
      </c>
      <c r="C1413" s="2" t="s">
        <v>2246</v>
      </c>
      <c r="D1413" s="7">
        <f>1</f>
        <v>1</v>
      </c>
      <c r="E1413" s="7"/>
      <c r="F1413" s="17">
        <f>3</f>
        <v>3</v>
      </c>
      <c r="G1413" s="17">
        <f>0</f>
        <v>0</v>
      </c>
      <c r="H1413" s="17">
        <f>8</f>
        <v>8</v>
      </c>
      <c r="I1413" s="16">
        <f>H1413/(F1413-G1413)</f>
        <v>2.6666666666666665</v>
      </c>
      <c r="J1413" s="17">
        <v>7</v>
      </c>
      <c r="K1413" s="25"/>
      <c r="L1413" s="25"/>
      <c r="M1413" s="25"/>
      <c r="N1413" s="24" t="e">
        <f>M1413/L1413</f>
        <v>#DIV/0!</v>
      </c>
      <c r="O1413" s="23"/>
    </row>
    <row r="1414" spans="1:15" s="54" customFormat="1" x14ac:dyDescent="0.2">
      <c r="A1414" s="57">
        <v>2141674</v>
      </c>
      <c r="B1414" s="58" t="s">
        <v>2434</v>
      </c>
      <c r="C1414" s="58" t="s">
        <v>2096</v>
      </c>
      <c r="D1414" s="59">
        <f>0</f>
        <v>0</v>
      </c>
      <c r="E1414" s="59">
        <f>0</f>
        <v>0</v>
      </c>
      <c r="F1414" s="60">
        <f>5+10</f>
        <v>15</v>
      </c>
      <c r="G1414" s="60">
        <f>2</f>
        <v>2</v>
      </c>
      <c r="H1414" s="60">
        <f>125+59</f>
        <v>184</v>
      </c>
      <c r="I1414" s="61">
        <f>H1414/(F1414-G1414)</f>
        <v>14.153846153846153</v>
      </c>
      <c r="J1414" s="60" t="s">
        <v>384</v>
      </c>
      <c r="K1414" s="62">
        <f>3+13</f>
        <v>16</v>
      </c>
      <c r="L1414" s="62">
        <f>0+1</f>
        <v>1</v>
      </c>
      <c r="M1414" s="62">
        <f>21+82</f>
        <v>103</v>
      </c>
      <c r="N1414" s="63">
        <f>M1414/L1414</f>
        <v>103</v>
      </c>
      <c r="O1414" s="66" t="s">
        <v>1628</v>
      </c>
    </row>
    <row r="1415" spans="1:15" s="54" customFormat="1" x14ac:dyDescent="0.2">
      <c r="A1415" s="4"/>
      <c r="B1415" s="2" t="s">
        <v>1204</v>
      </c>
      <c r="C1415" s="2" t="s">
        <v>13</v>
      </c>
      <c r="D1415" s="7">
        <f>1+1</f>
        <v>2</v>
      </c>
      <c r="E1415" s="7"/>
      <c r="F1415" s="17">
        <f>9+2+5+6+2</f>
        <v>24</v>
      </c>
      <c r="G1415" s="17">
        <f>3+3+2+1</f>
        <v>9</v>
      </c>
      <c r="H1415" s="17">
        <f>8+3+12+37+2</f>
        <v>62</v>
      </c>
      <c r="I1415" s="16">
        <f>H1415/(F1415-G1415)</f>
        <v>4.1333333333333337</v>
      </c>
      <c r="J1415" s="17" t="s">
        <v>364</v>
      </c>
      <c r="K1415" s="25">
        <f>35+19+11</f>
        <v>65</v>
      </c>
      <c r="L1415" s="25">
        <f>13+5+3</f>
        <v>21</v>
      </c>
      <c r="M1415" s="25">
        <f>95+53+37</f>
        <v>185</v>
      </c>
      <c r="N1415" s="24">
        <f>M1415/L1415</f>
        <v>8.8095238095238102</v>
      </c>
      <c r="O1415" s="23"/>
    </row>
    <row r="1416" spans="1:15" s="54" customFormat="1" x14ac:dyDescent="0.2">
      <c r="A1416" s="4"/>
      <c r="B1416" s="2" t="s">
        <v>1205</v>
      </c>
      <c r="C1416" s="2" t="s">
        <v>16</v>
      </c>
      <c r="D1416" s="7">
        <v>5</v>
      </c>
      <c r="E1416" s="7"/>
      <c r="F1416" s="17">
        <v>9</v>
      </c>
      <c r="G1416" s="17">
        <v>0</v>
      </c>
      <c r="H1416" s="17">
        <v>105</v>
      </c>
      <c r="I1416" s="16">
        <f>H1416/(F1416-G1416)</f>
        <v>11.666666666666666</v>
      </c>
      <c r="J1416" s="17">
        <v>38</v>
      </c>
      <c r="K1416" s="25">
        <v>1</v>
      </c>
      <c r="L1416" s="25">
        <v>0</v>
      </c>
      <c r="M1416" s="25">
        <v>5</v>
      </c>
      <c r="N1416" s="24" t="e">
        <f>M1416/L1416</f>
        <v>#DIV/0!</v>
      </c>
      <c r="O1416" s="23"/>
    </row>
    <row r="1417" spans="1:15" s="54" customFormat="1" x14ac:dyDescent="0.2">
      <c r="A1417" s="4">
        <v>683197</v>
      </c>
      <c r="B1417" s="52" t="s">
        <v>1480</v>
      </c>
      <c r="C1417" s="2" t="s">
        <v>88</v>
      </c>
      <c r="D1417" s="7">
        <f>6+5</f>
        <v>11</v>
      </c>
      <c r="E1417" s="7">
        <f>0+0</f>
        <v>0</v>
      </c>
      <c r="F1417" s="17">
        <f>15+11</f>
        <v>26</v>
      </c>
      <c r="G1417" s="17">
        <f>1+3</f>
        <v>4</v>
      </c>
      <c r="H1417" s="17">
        <f>343+328</f>
        <v>671</v>
      </c>
      <c r="I1417" s="16">
        <f>H1417/(F1417-G1417)</f>
        <v>30.5</v>
      </c>
      <c r="J1417" s="17" t="s">
        <v>422</v>
      </c>
      <c r="K1417" s="25">
        <f>2</f>
        <v>2</v>
      </c>
      <c r="L1417" s="25">
        <f>0</f>
        <v>0</v>
      </c>
      <c r="M1417" s="25">
        <f>4</f>
        <v>4</v>
      </c>
      <c r="N1417" s="24" t="e">
        <f>M1417/L1417</f>
        <v>#DIV/0!</v>
      </c>
      <c r="O1417" s="49" t="s">
        <v>1511</v>
      </c>
    </row>
    <row r="1418" spans="1:15" s="54" customFormat="1" x14ac:dyDescent="0.2">
      <c r="A1418" s="4"/>
      <c r="B1418" s="2" t="s">
        <v>1206</v>
      </c>
      <c r="C1418" s="2" t="s">
        <v>59</v>
      </c>
      <c r="D1418" s="7">
        <v>4</v>
      </c>
      <c r="E1418" s="7"/>
      <c r="F1418" s="17">
        <v>7</v>
      </c>
      <c r="G1418" s="17"/>
      <c r="H1418" s="17">
        <v>64</v>
      </c>
      <c r="I1418" s="16">
        <f>H1418/(F1418-G1418)</f>
        <v>9.1428571428571423</v>
      </c>
      <c r="J1418" s="17">
        <v>26</v>
      </c>
      <c r="K1418" s="25">
        <v>118</v>
      </c>
      <c r="L1418" s="25">
        <v>20</v>
      </c>
      <c r="M1418" s="25">
        <v>364</v>
      </c>
      <c r="N1418" s="24">
        <f>M1418/L1418</f>
        <v>18.2</v>
      </c>
      <c r="O1418" s="23"/>
    </row>
    <row r="1419" spans="1:15" s="54" customFormat="1" x14ac:dyDescent="0.2">
      <c r="A1419" s="4"/>
      <c r="B1419" s="2" t="s">
        <v>1207</v>
      </c>
      <c r="C1419" s="2" t="s">
        <v>17</v>
      </c>
      <c r="D1419" s="7">
        <v>6</v>
      </c>
      <c r="E1419" s="7"/>
      <c r="F1419" s="17">
        <v>3</v>
      </c>
      <c r="G1419" s="17">
        <v>2</v>
      </c>
      <c r="H1419" s="17">
        <v>13</v>
      </c>
      <c r="I1419" s="16">
        <f>H1419/(F1419-G1419)</f>
        <v>13</v>
      </c>
      <c r="J1419" s="17">
        <v>12</v>
      </c>
      <c r="K1419" s="25"/>
      <c r="L1419" s="25"/>
      <c r="M1419" s="25"/>
      <c r="N1419" s="24" t="e">
        <f>M1419/L1419</f>
        <v>#DIV/0!</v>
      </c>
      <c r="O1419" s="23"/>
    </row>
    <row r="1420" spans="1:15" s="54" customFormat="1" x14ac:dyDescent="0.2">
      <c r="A1420" s="4"/>
      <c r="B1420" s="4" t="s">
        <v>1208</v>
      </c>
      <c r="C1420" s="2" t="s">
        <v>334</v>
      </c>
      <c r="D1420" s="7">
        <f>3+1</f>
        <v>4</v>
      </c>
      <c r="E1420" s="7"/>
      <c r="F1420" s="17">
        <f>9+3</f>
        <v>12</v>
      </c>
      <c r="G1420" s="17">
        <f>1+0</f>
        <v>1</v>
      </c>
      <c r="H1420" s="17">
        <f>101+18</f>
        <v>119</v>
      </c>
      <c r="I1420" s="16">
        <f>H1420/(F1420-G1420)</f>
        <v>10.818181818181818</v>
      </c>
      <c r="J1420" s="17">
        <f>30</f>
        <v>30</v>
      </c>
      <c r="K1420" s="25">
        <f>115.2+40</f>
        <v>155.19999999999999</v>
      </c>
      <c r="L1420" s="25">
        <f>25+6</f>
        <v>31</v>
      </c>
      <c r="M1420" s="25">
        <f>319+108</f>
        <v>427</v>
      </c>
      <c r="N1420" s="24">
        <f>M1420/L1420</f>
        <v>13.774193548387096</v>
      </c>
      <c r="O1420" s="23"/>
    </row>
    <row r="1421" spans="1:15" s="54" customFormat="1" x14ac:dyDescent="0.2">
      <c r="A1421" s="4"/>
      <c r="B1421" s="4" t="s">
        <v>1209</v>
      </c>
      <c r="C1421" s="2" t="s">
        <v>346</v>
      </c>
      <c r="D1421" s="7">
        <f>0</f>
        <v>0</v>
      </c>
      <c r="E1421" s="7"/>
      <c r="F1421" s="17">
        <f>5</f>
        <v>5</v>
      </c>
      <c r="G1421" s="17">
        <f>1</f>
        <v>1</v>
      </c>
      <c r="H1421" s="17">
        <f>12</f>
        <v>12</v>
      </c>
      <c r="I1421" s="16">
        <f>H1421/(F1421-G1421)</f>
        <v>3</v>
      </c>
      <c r="J1421" s="17" t="s">
        <v>347</v>
      </c>
      <c r="K1421" s="25">
        <f>40.5</f>
        <v>40.5</v>
      </c>
      <c r="L1421" s="25">
        <f>11</f>
        <v>11</v>
      </c>
      <c r="M1421" s="25">
        <f>58</f>
        <v>58</v>
      </c>
      <c r="N1421" s="24">
        <f>M1421/L1421</f>
        <v>5.2727272727272725</v>
      </c>
      <c r="O1421" s="23"/>
    </row>
    <row r="1422" spans="1:15" s="54" customFormat="1" x14ac:dyDescent="0.2">
      <c r="A1422" s="84">
        <v>793037</v>
      </c>
      <c r="B1422" s="2" t="s">
        <v>2247</v>
      </c>
      <c r="C1422" s="2" t="s">
        <v>151</v>
      </c>
      <c r="D1422" s="7">
        <f>2+1</f>
        <v>3</v>
      </c>
      <c r="E1422" s="7"/>
      <c r="F1422" s="17">
        <f>6</f>
        <v>6</v>
      </c>
      <c r="G1422" s="17">
        <f>0</f>
        <v>0</v>
      </c>
      <c r="H1422" s="17">
        <f>38</f>
        <v>38</v>
      </c>
      <c r="I1422" s="16">
        <f>H1422/(F1422-G1422)</f>
        <v>6.333333333333333</v>
      </c>
      <c r="J1422" s="17">
        <v>22</v>
      </c>
      <c r="K1422" s="25"/>
      <c r="L1422" s="25"/>
      <c r="M1422" s="25"/>
      <c r="N1422" s="24" t="e">
        <f>M1422/L1422</f>
        <v>#DIV/0!</v>
      </c>
      <c r="O1422" s="23"/>
    </row>
    <row r="1423" spans="1:15" s="54" customFormat="1" x14ac:dyDescent="0.2">
      <c r="A1423" s="4"/>
      <c r="B1423" s="2" t="s">
        <v>1210</v>
      </c>
      <c r="C1423" s="2" t="s">
        <v>150</v>
      </c>
      <c r="D1423" s="7">
        <f>6+3</f>
        <v>9</v>
      </c>
      <c r="E1423" s="7"/>
      <c r="F1423" s="17">
        <f>10+2+14</f>
        <v>26</v>
      </c>
      <c r="G1423" s="17">
        <v>1</v>
      </c>
      <c r="H1423" s="17">
        <f>62+48+93</f>
        <v>203</v>
      </c>
      <c r="I1423" s="16">
        <f>H1423/(F1423-G1423)</f>
        <v>8.1199999999999992</v>
      </c>
      <c r="J1423" s="17">
        <v>25</v>
      </c>
      <c r="K1423" s="25">
        <f>16+4</f>
        <v>20</v>
      </c>
      <c r="L1423" s="25">
        <f>1+1</f>
        <v>2</v>
      </c>
      <c r="M1423" s="25">
        <f>67+59</f>
        <v>126</v>
      </c>
      <c r="N1423" s="24">
        <f>M1423/L1423</f>
        <v>63</v>
      </c>
      <c r="O1423" s="23"/>
    </row>
    <row r="1424" spans="1:15" s="54" customFormat="1" x14ac:dyDescent="0.2">
      <c r="A1424" s="84">
        <v>1904196</v>
      </c>
      <c r="B1424" s="2" t="s">
        <v>2248</v>
      </c>
      <c r="C1424" s="2" t="s">
        <v>1748</v>
      </c>
      <c r="D1424" s="7">
        <f>0</f>
        <v>0</v>
      </c>
      <c r="E1424" s="7"/>
      <c r="F1424" s="17">
        <f>11</f>
        <v>11</v>
      </c>
      <c r="G1424" s="17">
        <f>2</f>
        <v>2</v>
      </c>
      <c r="H1424" s="17">
        <f>61</f>
        <v>61</v>
      </c>
      <c r="I1424" s="16">
        <f>H1424/(F1424-G1424)</f>
        <v>6.7777777777777777</v>
      </c>
      <c r="J1424" s="17">
        <v>22</v>
      </c>
      <c r="K1424" s="25">
        <f>55</f>
        <v>55</v>
      </c>
      <c r="L1424" s="25">
        <f>12</f>
        <v>12</v>
      </c>
      <c r="M1424" s="25">
        <f>148</f>
        <v>148</v>
      </c>
      <c r="N1424" s="24">
        <f>M1424/L1424</f>
        <v>12.333333333333334</v>
      </c>
      <c r="O1424" s="49" t="s">
        <v>1392</v>
      </c>
    </row>
    <row r="1425" spans="1:15" s="54" customFormat="1" x14ac:dyDescent="0.2">
      <c r="A1425" s="84">
        <v>2063018</v>
      </c>
      <c r="B1425" s="2" t="s">
        <v>2546</v>
      </c>
      <c r="C1425" s="2" t="s">
        <v>2547</v>
      </c>
      <c r="D1425" s="7">
        <v>1</v>
      </c>
      <c r="E1425" s="7">
        <v>0</v>
      </c>
      <c r="F1425" s="17">
        <v>7</v>
      </c>
      <c r="G1425" s="17">
        <v>0</v>
      </c>
      <c r="H1425" s="17">
        <v>28</v>
      </c>
      <c r="I1425" s="16">
        <f>H1425/(F1425-G1425)</f>
        <v>4</v>
      </c>
      <c r="J1425" s="17">
        <v>23</v>
      </c>
      <c r="K1425" s="25">
        <v>8</v>
      </c>
      <c r="L1425" s="25">
        <v>1</v>
      </c>
      <c r="M1425" s="25">
        <v>40</v>
      </c>
      <c r="N1425" s="24">
        <f>M1425/L1425</f>
        <v>40</v>
      </c>
      <c r="O1425" s="49" t="s">
        <v>2548</v>
      </c>
    </row>
    <row r="1426" spans="1:15" s="54" customFormat="1" x14ac:dyDescent="0.2">
      <c r="A1426" s="84">
        <v>2250417</v>
      </c>
      <c r="B1426" s="2" t="s">
        <v>2616</v>
      </c>
      <c r="C1426" s="2" t="s">
        <v>2617</v>
      </c>
      <c r="D1426" s="7">
        <v>0</v>
      </c>
      <c r="E1426" s="7">
        <v>0</v>
      </c>
      <c r="F1426" s="17">
        <v>1</v>
      </c>
      <c r="G1426" s="17">
        <v>0</v>
      </c>
      <c r="H1426" s="17">
        <v>0</v>
      </c>
      <c r="I1426" s="16">
        <f>H1426/(F1426-G1426)</f>
        <v>0</v>
      </c>
      <c r="J1426" s="17">
        <v>0</v>
      </c>
      <c r="K1426" s="25">
        <v>6</v>
      </c>
      <c r="L1426" s="25">
        <v>0</v>
      </c>
      <c r="M1426" s="25">
        <v>26</v>
      </c>
      <c r="N1426" s="24" t="e">
        <f>M1426/L1426</f>
        <v>#DIV/0!</v>
      </c>
      <c r="O1426" s="49" t="s">
        <v>2455</v>
      </c>
    </row>
    <row r="1427" spans="1:15" s="54" customFormat="1" x14ac:dyDescent="0.2">
      <c r="A1427" s="84">
        <v>126330</v>
      </c>
      <c r="B1427" s="2" t="s">
        <v>2618</v>
      </c>
      <c r="C1427" s="2" t="s">
        <v>2619</v>
      </c>
      <c r="D1427" s="7">
        <v>3</v>
      </c>
      <c r="E1427" s="7">
        <v>0</v>
      </c>
      <c r="F1427" s="17">
        <v>8</v>
      </c>
      <c r="G1427" s="17">
        <v>1</v>
      </c>
      <c r="H1427" s="17">
        <v>158</v>
      </c>
      <c r="I1427" s="16">
        <f>H1427/(F1427-G1427)</f>
        <v>22.571428571428573</v>
      </c>
      <c r="J1427" s="17" t="s">
        <v>394</v>
      </c>
      <c r="K1427" s="25">
        <v>40</v>
      </c>
      <c r="L1427" s="25">
        <v>8</v>
      </c>
      <c r="M1427" s="25">
        <v>94</v>
      </c>
      <c r="N1427" s="24">
        <f>M1427/L1427</f>
        <v>11.75</v>
      </c>
      <c r="O1427" s="49" t="s">
        <v>1355</v>
      </c>
    </row>
    <row r="1428" spans="1:15" s="54" customFormat="1" x14ac:dyDescent="0.2">
      <c r="A1428" s="84">
        <v>1170828</v>
      </c>
      <c r="B1428" s="2" t="s">
        <v>1766</v>
      </c>
      <c r="C1428" s="2" t="s">
        <v>1767</v>
      </c>
      <c r="D1428" s="7">
        <f>0+9+2</f>
        <v>11</v>
      </c>
      <c r="E1428" s="7">
        <f>0+0+0</f>
        <v>0</v>
      </c>
      <c r="F1428" s="17">
        <f>8+10+6</f>
        <v>24</v>
      </c>
      <c r="G1428" s="17">
        <f>0+0+1</f>
        <v>1</v>
      </c>
      <c r="H1428" s="17">
        <f>9+62+41</f>
        <v>112</v>
      </c>
      <c r="I1428" s="16">
        <f>H1428/(F1428-G1428)</f>
        <v>4.8695652173913047</v>
      </c>
      <c r="J1428" s="17">
        <v>22</v>
      </c>
      <c r="K1428" s="25">
        <f>15+34+27</f>
        <v>76</v>
      </c>
      <c r="L1428" s="25">
        <f>0+4+9</f>
        <v>13</v>
      </c>
      <c r="M1428" s="25">
        <f>61+125+70</f>
        <v>256</v>
      </c>
      <c r="N1428" s="24">
        <f>M1428/L1428</f>
        <v>19.692307692307693</v>
      </c>
      <c r="O1428" s="49" t="s">
        <v>1392</v>
      </c>
    </row>
    <row r="1429" spans="1:15" s="54" customFormat="1" x14ac:dyDescent="0.2">
      <c r="A1429" s="4">
        <v>1198085</v>
      </c>
      <c r="B1429" s="52" t="s">
        <v>1421</v>
      </c>
      <c r="C1429" s="2" t="s">
        <v>1449</v>
      </c>
      <c r="D1429" s="7">
        <f>2</f>
        <v>2</v>
      </c>
      <c r="E1429" s="7">
        <f>0</f>
        <v>0</v>
      </c>
      <c r="F1429" s="17">
        <f>10</f>
        <v>10</v>
      </c>
      <c r="G1429" s="17">
        <f>0</f>
        <v>0</v>
      </c>
      <c r="H1429" s="17">
        <f>133</f>
        <v>133</v>
      </c>
      <c r="I1429" s="16">
        <f>H1429/(F1429-G1429)</f>
        <v>13.3</v>
      </c>
      <c r="J1429" s="17">
        <v>52</v>
      </c>
      <c r="K1429" s="25">
        <f>7</f>
        <v>7</v>
      </c>
      <c r="L1429" s="25">
        <f>0</f>
        <v>0</v>
      </c>
      <c r="M1429" s="25">
        <f>26</f>
        <v>26</v>
      </c>
      <c r="N1429" s="24" t="e">
        <f>M1429/L1429</f>
        <v>#DIV/0!</v>
      </c>
      <c r="O1429" s="23"/>
    </row>
    <row r="1430" spans="1:15" s="54" customFormat="1" x14ac:dyDescent="0.2">
      <c r="A1430" s="57"/>
      <c r="B1430" s="58" t="s">
        <v>2737</v>
      </c>
      <c r="C1430" s="58" t="s">
        <v>2738</v>
      </c>
      <c r="D1430" s="59">
        <v>0</v>
      </c>
      <c r="E1430" s="59"/>
      <c r="F1430" s="60">
        <v>12</v>
      </c>
      <c r="G1430" s="60">
        <v>0</v>
      </c>
      <c r="H1430" s="60">
        <v>58</v>
      </c>
      <c r="I1430" s="61">
        <f>H1430/(F1430-G1430)</f>
        <v>4.833333333333333</v>
      </c>
      <c r="J1430" s="60">
        <v>15</v>
      </c>
      <c r="K1430" s="62">
        <v>21</v>
      </c>
      <c r="L1430" s="62">
        <v>6</v>
      </c>
      <c r="M1430" s="62">
        <v>105</v>
      </c>
      <c r="N1430" s="63">
        <f>M1430/L1430</f>
        <v>17.5</v>
      </c>
      <c r="O1430" s="66" t="s">
        <v>1627</v>
      </c>
    </row>
    <row r="1431" spans="1:15" s="54" customFormat="1" x14ac:dyDescent="0.2">
      <c r="A1431" s="4"/>
      <c r="B1431" s="4" t="s">
        <v>1211</v>
      </c>
      <c r="C1431" s="2" t="s">
        <v>27</v>
      </c>
      <c r="D1431" s="7">
        <v>9</v>
      </c>
      <c r="E1431" s="7"/>
      <c r="F1431" s="17">
        <v>17</v>
      </c>
      <c r="G1431" s="17">
        <v>0</v>
      </c>
      <c r="H1431" s="17">
        <v>294</v>
      </c>
      <c r="I1431" s="16">
        <f>H1431/(F1431-G1431)</f>
        <v>17.294117647058822</v>
      </c>
      <c r="J1431" s="17">
        <v>67</v>
      </c>
      <c r="K1431" s="25">
        <v>87</v>
      </c>
      <c r="L1431" s="25">
        <v>18</v>
      </c>
      <c r="M1431" s="25">
        <v>292</v>
      </c>
      <c r="N1431" s="24">
        <f>M1431/L1431</f>
        <v>16.222222222222221</v>
      </c>
      <c r="O1431" s="23"/>
    </row>
    <row r="1432" spans="1:15" s="54" customFormat="1" x14ac:dyDescent="0.2">
      <c r="A1432" s="4">
        <v>752869</v>
      </c>
      <c r="B1432" s="2" t="s">
        <v>1326</v>
      </c>
      <c r="C1432" s="2" t="s">
        <v>1602</v>
      </c>
      <c r="D1432" s="7">
        <f>2+1+2+0+0+0+2+0+2+4+0+0+3+0</f>
        <v>16</v>
      </c>
      <c r="E1432" s="7">
        <f>0+0+0</f>
        <v>0</v>
      </c>
      <c r="F1432" s="17">
        <f>15+10+2+10+1+13+9+1+1+6+12+1+14+12+8+4+9+1</f>
        <v>129</v>
      </c>
      <c r="G1432" s="17">
        <f>2+1+1+1+0+0+3+1+0+2+0+1+2+3+0</f>
        <v>17</v>
      </c>
      <c r="H1432" s="17">
        <f>62+162+12+103+10+442+194+1+24+16+90+9+182+73+79+52+88+0</f>
        <v>1599</v>
      </c>
      <c r="I1432" s="16">
        <f>H1432/(F1432-G1432)</f>
        <v>14.276785714285714</v>
      </c>
      <c r="J1432" s="17">
        <v>91</v>
      </c>
      <c r="K1432" s="25">
        <f>37+30+3+60+107+31+10+3+3+69+5+127.1+50+8+30+31.2</f>
        <v>604.30000000000007</v>
      </c>
      <c r="L1432" s="25">
        <f>6+10+6+25+16+3+1+0+6+1+26+7+1+6+5</f>
        <v>119</v>
      </c>
      <c r="M1432" s="25">
        <f>109+53+5+154+242+43+5+25+11+223+7+490+213+42+106+163</f>
        <v>1891</v>
      </c>
      <c r="N1432" s="24">
        <f>M1432/L1432</f>
        <v>15.890756302521009</v>
      </c>
      <c r="O1432" s="49" t="s">
        <v>1468</v>
      </c>
    </row>
    <row r="1433" spans="1:15" s="54" customFormat="1" x14ac:dyDescent="0.2">
      <c r="A1433" s="4"/>
      <c r="B1433" s="4" t="s">
        <v>1214</v>
      </c>
      <c r="C1433" s="2" t="s">
        <v>81</v>
      </c>
      <c r="D1433" s="7">
        <f>2+9+1</f>
        <v>12</v>
      </c>
      <c r="E1433" s="7"/>
      <c r="F1433" s="17">
        <f>12+13+8</f>
        <v>33</v>
      </c>
      <c r="G1433" s="17">
        <f>2+2+2</f>
        <v>6</v>
      </c>
      <c r="H1433" s="17">
        <f>112+130+97</f>
        <v>339</v>
      </c>
      <c r="I1433" s="16">
        <f>H1433/(F1433-G1433)</f>
        <v>12.555555555555555</v>
      </c>
      <c r="J1433" s="17" t="s">
        <v>355</v>
      </c>
      <c r="K1433" s="25">
        <f>28+39+44.3</f>
        <v>111.3</v>
      </c>
      <c r="L1433" s="25">
        <f>3+10+7</f>
        <v>20</v>
      </c>
      <c r="M1433" s="25">
        <f>159+234+211</f>
        <v>604</v>
      </c>
      <c r="N1433" s="24">
        <f>M1433/L1433</f>
        <v>30.2</v>
      </c>
      <c r="O1433" s="23"/>
    </row>
    <row r="1434" spans="1:15" s="54" customFormat="1" x14ac:dyDescent="0.2">
      <c r="A1434" s="4"/>
      <c r="B1434" s="2" t="s">
        <v>1212</v>
      </c>
      <c r="C1434" s="2" t="s">
        <v>9</v>
      </c>
      <c r="D1434" s="8">
        <v>26</v>
      </c>
      <c r="E1434" s="7">
        <v>1</v>
      </c>
      <c r="F1434" s="17">
        <v>87</v>
      </c>
      <c r="G1434" s="17">
        <v>22</v>
      </c>
      <c r="H1434" s="17">
        <v>1266</v>
      </c>
      <c r="I1434" s="16">
        <f>H1434/(F1434-G1434)</f>
        <v>19.476923076923075</v>
      </c>
      <c r="J1434" s="17" t="s">
        <v>402</v>
      </c>
      <c r="K1434" s="25">
        <v>541.5</v>
      </c>
      <c r="L1434" s="25">
        <v>115</v>
      </c>
      <c r="M1434" s="25">
        <v>1865</v>
      </c>
      <c r="N1434" s="24">
        <f>M1434/L1434</f>
        <v>16.217391304347824</v>
      </c>
      <c r="O1434" s="23"/>
    </row>
    <row r="1435" spans="1:15" s="54" customFormat="1" x14ac:dyDescent="0.2">
      <c r="A1435" s="4"/>
      <c r="B1435" s="2" t="s">
        <v>1213</v>
      </c>
      <c r="C1435" s="2" t="s">
        <v>94</v>
      </c>
      <c r="D1435" s="7">
        <f>7+1</f>
        <v>8</v>
      </c>
      <c r="E1435" s="7"/>
      <c r="F1435" s="17">
        <f>14+11</f>
        <v>25</v>
      </c>
      <c r="G1435" s="17">
        <f>0+1</f>
        <v>1</v>
      </c>
      <c r="H1435" s="17">
        <f>91+47</f>
        <v>138</v>
      </c>
      <c r="I1435" s="16">
        <f>H1435/(F1435-G1435)</f>
        <v>5.75</v>
      </c>
      <c r="J1435" s="17">
        <v>25</v>
      </c>
      <c r="K1435" s="25">
        <f>56+39</f>
        <v>95</v>
      </c>
      <c r="L1435" s="25">
        <f>8+8</f>
        <v>16</v>
      </c>
      <c r="M1435" s="25">
        <f>290+158</f>
        <v>448</v>
      </c>
      <c r="N1435" s="24">
        <f>M1435/L1435</f>
        <v>28</v>
      </c>
      <c r="O1435" s="23"/>
    </row>
    <row r="1436" spans="1:15" s="54" customFormat="1" x14ac:dyDescent="0.2">
      <c r="A1436" s="4"/>
      <c r="B1436" s="2" t="s">
        <v>1215</v>
      </c>
      <c r="C1436" s="2" t="s">
        <v>20</v>
      </c>
      <c r="D1436" s="7">
        <v>22</v>
      </c>
      <c r="E1436" s="7"/>
      <c r="F1436" s="17">
        <v>31</v>
      </c>
      <c r="G1436" s="17">
        <v>7</v>
      </c>
      <c r="H1436" s="17">
        <v>220</v>
      </c>
      <c r="I1436" s="16">
        <f>H1436/(F1436-G1436)</f>
        <v>9.1666666666666661</v>
      </c>
      <c r="J1436" s="17">
        <v>28</v>
      </c>
      <c r="K1436" s="25">
        <v>3</v>
      </c>
      <c r="L1436" s="25">
        <v>1</v>
      </c>
      <c r="M1436" s="25">
        <v>3</v>
      </c>
      <c r="N1436" s="24">
        <f>M1436/L1436</f>
        <v>3</v>
      </c>
      <c r="O1436" s="23"/>
    </row>
    <row r="1437" spans="1:15" s="54" customFormat="1" x14ac:dyDescent="0.2">
      <c r="A1437" s="57"/>
      <c r="B1437" s="58" t="s">
        <v>2744</v>
      </c>
      <c r="C1437" s="58" t="s">
        <v>2552</v>
      </c>
      <c r="D1437" s="59">
        <v>0</v>
      </c>
      <c r="E1437" s="59"/>
      <c r="F1437" s="60">
        <v>9</v>
      </c>
      <c r="G1437" s="60">
        <v>0</v>
      </c>
      <c r="H1437" s="60">
        <v>164</v>
      </c>
      <c r="I1437" s="61">
        <f>H1437/(F1437-G1437)</f>
        <v>18.222222222222221</v>
      </c>
      <c r="J1437" s="60">
        <v>83</v>
      </c>
      <c r="K1437" s="62">
        <v>56.1</v>
      </c>
      <c r="L1437" s="62">
        <v>10</v>
      </c>
      <c r="M1437" s="62">
        <v>186</v>
      </c>
      <c r="N1437" s="63">
        <f>M1437/L1437</f>
        <v>18.600000000000001</v>
      </c>
      <c r="O1437" s="66" t="s">
        <v>2270</v>
      </c>
    </row>
    <row r="1438" spans="1:15" s="54" customFormat="1" x14ac:dyDescent="0.2">
      <c r="A1438" s="4"/>
      <c r="B1438" s="2" t="s">
        <v>1216</v>
      </c>
      <c r="C1438" s="2" t="s">
        <v>10</v>
      </c>
      <c r="D1438" s="7">
        <v>1</v>
      </c>
      <c r="E1438" s="7"/>
      <c r="F1438" s="17">
        <v>12</v>
      </c>
      <c r="G1438" s="17">
        <v>4</v>
      </c>
      <c r="H1438" s="17">
        <v>97</v>
      </c>
      <c r="I1438" s="16">
        <f>H1438/(F1438-G1438)</f>
        <v>12.125</v>
      </c>
      <c r="J1438" s="17"/>
      <c r="K1438" s="25">
        <v>23</v>
      </c>
      <c r="L1438" s="25">
        <v>7</v>
      </c>
      <c r="M1438" s="25">
        <v>43</v>
      </c>
      <c r="N1438" s="24">
        <f>M1438/L1438</f>
        <v>6.1428571428571432</v>
      </c>
      <c r="O1438" s="23"/>
    </row>
    <row r="1439" spans="1:15" s="54" customFormat="1" x14ac:dyDescent="0.2">
      <c r="A1439" s="57">
        <v>2118686</v>
      </c>
      <c r="B1439" s="58" t="s">
        <v>2435</v>
      </c>
      <c r="C1439" s="58" t="s">
        <v>2672</v>
      </c>
      <c r="D1439" s="59">
        <f>3+8+1</f>
        <v>12</v>
      </c>
      <c r="E1439" s="59">
        <f>0+1</f>
        <v>1</v>
      </c>
      <c r="F1439" s="60">
        <f>12+12+1</f>
        <v>25</v>
      </c>
      <c r="G1439" s="60">
        <f>2+1</f>
        <v>3</v>
      </c>
      <c r="H1439" s="60">
        <f>157+189+8</f>
        <v>354</v>
      </c>
      <c r="I1439" s="61">
        <f>H1439/(F1439-G1439)</f>
        <v>16.09090909090909</v>
      </c>
      <c r="J1439" s="60">
        <v>40</v>
      </c>
      <c r="K1439" s="62">
        <f>1+1</f>
        <v>2</v>
      </c>
      <c r="L1439" s="62">
        <f>1+0</f>
        <v>1</v>
      </c>
      <c r="M1439" s="62">
        <f>4+1</f>
        <v>5</v>
      </c>
      <c r="N1439" s="63">
        <f>M1439/L1439</f>
        <v>5</v>
      </c>
      <c r="O1439" s="66" t="s">
        <v>1351</v>
      </c>
    </row>
    <row r="1440" spans="1:15" s="54" customFormat="1" x14ac:dyDescent="0.2">
      <c r="A1440" s="4"/>
      <c r="B1440" s="4" t="s">
        <v>1218</v>
      </c>
      <c r="C1440" s="2" t="s">
        <v>385</v>
      </c>
      <c r="D1440" s="7">
        <f>8+4+0+5</f>
        <v>17</v>
      </c>
      <c r="E1440" s="7"/>
      <c r="F1440" s="17">
        <f>12+10+12</f>
        <v>34</v>
      </c>
      <c r="G1440" s="17">
        <f>3+1+3</f>
        <v>7</v>
      </c>
      <c r="H1440" s="17">
        <f>220+103+198</f>
        <v>521</v>
      </c>
      <c r="I1440" s="16">
        <f>H1440/(F1440-G1440)</f>
        <v>19.296296296296298</v>
      </c>
      <c r="J1440" s="17">
        <v>53</v>
      </c>
      <c r="K1440" s="25">
        <f>64.2+30+50</f>
        <v>144.19999999999999</v>
      </c>
      <c r="L1440" s="25">
        <f>22+3+9</f>
        <v>34</v>
      </c>
      <c r="M1440" s="25">
        <f>245+130+222</f>
        <v>597</v>
      </c>
      <c r="N1440" s="24">
        <f>M1440/L1440</f>
        <v>17.558823529411764</v>
      </c>
      <c r="O1440" s="23"/>
    </row>
    <row r="1441" spans="1:15" s="54" customFormat="1" x14ac:dyDescent="0.2">
      <c r="A1441" s="4"/>
      <c r="B1441" s="4" t="s">
        <v>1219</v>
      </c>
      <c r="C1441" s="2" t="s">
        <v>142</v>
      </c>
      <c r="D1441" s="7">
        <f>2</f>
        <v>2</v>
      </c>
      <c r="E1441" s="7"/>
      <c r="F1441" s="17">
        <f>3</f>
        <v>3</v>
      </c>
      <c r="G1441" s="17">
        <f>2</f>
        <v>2</v>
      </c>
      <c r="H1441" s="17">
        <v>12</v>
      </c>
      <c r="I1441" s="16">
        <f>H1441/(F1441-G1441)</f>
        <v>12</v>
      </c>
      <c r="J1441" s="17" t="s">
        <v>268</v>
      </c>
      <c r="K1441" s="25">
        <f>13.4</f>
        <v>13.4</v>
      </c>
      <c r="L1441" s="25">
        <f>3</f>
        <v>3</v>
      </c>
      <c r="M1441" s="25">
        <f>40</f>
        <v>40</v>
      </c>
      <c r="N1441" s="24">
        <f>M1441/L1441</f>
        <v>13.333333333333334</v>
      </c>
      <c r="O1441" s="23"/>
    </row>
    <row r="1442" spans="1:15" s="54" customFormat="1" x14ac:dyDescent="0.2">
      <c r="A1442" s="4"/>
      <c r="B1442" s="4" t="s">
        <v>1217</v>
      </c>
      <c r="C1442" s="2" t="s">
        <v>388</v>
      </c>
      <c r="D1442" s="7">
        <f>6+4+5</f>
        <v>15</v>
      </c>
      <c r="E1442" s="7"/>
      <c r="F1442" s="17">
        <f>14+13+13</f>
        <v>40</v>
      </c>
      <c r="G1442" s="17">
        <f>2+4+2</f>
        <v>8</v>
      </c>
      <c r="H1442" s="17">
        <f>103+95+155</f>
        <v>353</v>
      </c>
      <c r="I1442" s="16">
        <f>H1442/(F1442-G1442)</f>
        <v>11.03125</v>
      </c>
      <c r="J1442" s="17">
        <v>50</v>
      </c>
      <c r="K1442" s="25">
        <f>142+96+92</f>
        <v>330</v>
      </c>
      <c r="L1442" s="25">
        <f>19+14+21</f>
        <v>54</v>
      </c>
      <c r="M1442" s="25">
        <f>427+259+284</f>
        <v>970</v>
      </c>
      <c r="N1442" s="24">
        <f>M1442/L1442</f>
        <v>17.962962962962962</v>
      </c>
      <c r="O1442" s="23"/>
    </row>
    <row r="1443" spans="1:15" s="54" customFormat="1" x14ac:dyDescent="0.2">
      <c r="A1443" s="84">
        <v>1467832</v>
      </c>
      <c r="B1443" s="2" t="s">
        <v>1768</v>
      </c>
      <c r="C1443" s="2" t="s">
        <v>1769</v>
      </c>
      <c r="D1443" s="7">
        <f>0</f>
        <v>0</v>
      </c>
      <c r="E1443" s="7">
        <f>0</f>
        <v>0</v>
      </c>
      <c r="F1443" s="17">
        <f>6</f>
        <v>6</v>
      </c>
      <c r="G1443" s="17">
        <f>1</f>
        <v>1</v>
      </c>
      <c r="H1443" s="17">
        <f>19</f>
        <v>19</v>
      </c>
      <c r="I1443" s="16">
        <f>H1443/(F1443-G1443)</f>
        <v>3.8</v>
      </c>
      <c r="J1443" s="17">
        <v>8</v>
      </c>
      <c r="K1443" s="25">
        <f>35</f>
        <v>35</v>
      </c>
      <c r="L1443" s="25">
        <f>7</f>
        <v>7</v>
      </c>
      <c r="M1443" s="25">
        <f>147</f>
        <v>147</v>
      </c>
      <c r="N1443" s="24">
        <f>M1443/L1443</f>
        <v>21</v>
      </c>
      <c r="O1443" s="49" t="s">
        <v>1809</v>
      </c>
    </row>
    <row r="1444" spans="1:15" s="54" customFormat="1" x14ac:dyDescent="0.2">
      <c r="A1444" s="84">
        <v>1762105</v>
      </c>
      <c r="B1444" s="2" t="s">
        <v>1768</v>
      </c>
      <c r="C1444" s="2" t="s">
        <v>1769</v>
      </c>
      <c r="D1444" s="7">
        <f>0+0</f>
        <v>0</v>
      </c>
      <c r="E1444" s="7">
        <f>0</f>
        <v>0</v>
      </c>
      <c r="F1444" s="17">
        <f>4+1</f>
        <v>5</v>
      </c>
      <c r="G1444" s="17">
        <f>1+1</f>
        <v>2</v>
      </c>
      <c r="H1444" s="17">
        <f>1+3</f>
        <v>4</v>
      </c>
      <c r="I1444" s="16">
        <f>H1444/(F1444-G1444)</f>
        <v>1.3333333333333333</v>
      </c>
      <c r="J1444" s="17" t="s">
        <v>1346</v>
      </c>
      <c r="K1444" s="25">
        <f>7</f>
        <v>7</v>
      </c>
      <c r="L1444" s="25">
        <f>0</f>
        <v>0</v>
      </c>
      <c r="M1444" s="25">
        <f>44</f>
        <v>44</v>
      </c>
      <c r="N1444" s="24" t="e">
        <f>M1444/L1444</f>
        <v>#DIV/0!</v>
      </c>
      <c r="O1444" s="23"/>
    </row>
    <row r="1445" spans="1:15" s="54" customFormat="1" x14ac:dyDescent="0.2">
      <c r="A1445" s="4"/>
      <c r="B1445" s="2" t="s">
        <v>1220</v>
      </c>
      <c r="C1445" s="2" t="s">
        <v>9</v>
      </c>
      <c r="D1445" s="7">
        <v>3</v>
      </c>
      <c r="E1445" s="7"/>
      <c r="F1445" s="17">
        <v>10</v>
      </c>
      <c r="G1445" s="17">
        <v>3</v>
      </c>
      <c r="H1445" s="17">
        <v>68</v>
      </c>
      <c r="I1445" s="16">
        <f>H1445/(F1445-G1445)</f>
        <v>9.7142857142857135</v>
      </c>
      <c r="J1445" s="17">
        <v>31</v>
      </c>
      <c r="K1445" s="25">
        <v>12</v>
      </c>
      <c r="L1445" s="25">
        <v>0</v>
      </c>
      <c r="M1445" s="25">
        <v>47</v>
      </c>
      <c r="N1445" s="24" t="e">
        <f>M1445/L1445</f>
        <v>#DIV/0!</v>
      </c>
      <c r="O1445" s="23"/>
    </row>
    <row r="1446" spans="1:15" s="54" customFormat="1" x14ac:dyDescent="0.2">
      <c r="A1446" s="4"/>
      <c r="B1446" s="2" t="s">
        <v>1221</v>
      </c>
      <c r="C1446" s="2" t="s">
        <v>35</v>
      </c>
      <c r="D1446" s="7"/>
      <c r="E1446" s="7"/>
      <c r="F1446" s="17">
        <v>2</v>
      </c>
      <c r="G1446" s="17">
        <v>1</v>
      </c>
      <c r="H1446" s="17">
        <v>0</v>
      </c>
      <c r="I1446" s="16">
        <f>H1446/(F1446-G1446)</f>
        <v>0</v>
      </c>
      <c r="J1446" s="17"/>
      <c r="K1446" s="25"/>
      <c r="L1446" s="25"/>
      <c r="M1446" s="25"/>
      <c r="N1446" s="24" t="e">
        <f>M1446/L1446</f>
        <v>#DIV/0!</v>
      </c>
      <c r="O1446" s="23"/>
    </row>
    <row r="1447" spans="1:15" s="54" customFormat="1" x14ac:dyDescent="0.2">
      <c r="A1447" s="84">
        <v>1680612</v>
      </c>
      <c r="B1447" s="2" t="s">
        <v>1995</v>
      </c>
      <c r="C1447" s="2" t="s">
        <v>350</v>
      </c>
      <c r="D1447" s="7">
        <f>1+6+3</f>
        <v>10</v>
      </c>
      <c r="E1447" s="7">
        <f>0</f>
        <v>0</v>
      </c>
      <c r="F1447" s="17">
        <f>6+9+12</f>
        <v>27</v>
      </c>
      <c r="G1447" s="17">
        <f>1+0+2</f>
        <v>3</v>
      </c>
      <c r="H1447" s="17">
        <f>183+272+338</f>
        <v>793</v>
      </c>
      <c r="I1447" s="16">
        <f>H1447/(F1447-G1447)</f>
        <v>33.041666666666664</v>
      </c>
      <c r="J1447" s="17" t="s">
        <v>2454</v>
      </c>
      <c r="K1447" s="25">
        <f>83+84.3+100</f>
        <v>267.3</v>
      </c>
      <c r="L1447" s="25">
        <f>19+22+23</f>
        <v>64</v>
      </c>
      <c r="M1447" s="25">
        <f>202+297+274</f>
        <v>773</v>
      </c>
      <c r="N1447" s="24">
        <f>M1447/L1447</f>
        <v>12.078125</v>
      </c>
      <c r="O1447" s="49" t="s">
        <v>2040</v>
      </c>
    </row>
    <row r="1448" spans="1:15" s="54" customFormat="1" x14ac:dyDescent="0.2">
      <c r="A1448" s="84">
        <v>703238</v>
      </c>
      <c r="B1448" s="86" t="s">
        <v>1603</v>
      </c>
      <c r="C1448" s="2" t="s">
        <v>1604</v>
      </c>
      <c r="D1448" s="7">
        <f>5</f>
        <v>5</v>
      </c>
      <c r="E1448" s="7">
        <f>1</f>
        <v>1</v>
      </c>
      <c r="F1448" s="17">
        <f>10</f>
        <v>10</v>
      </c>
      <c r="G1448" s="17">
        <f>0</f>
        <v>0</v>
      </c>
      <c r="H1448" s="17">
        <f>256</f>
        <v>256</v>
      </c>
      <c r="I1448" s="16">
        <f>H1448/(F1448-G1448)</f>
        <v>25.6</v>
      </c>
      <c r="J1448" s="17">
        <v>67</v>
      </c>
      <c r="K1448" s="25">
        <f>1</f>
        <v>1</v>
      </c>
      <c r="L1448" s="25">
        <f>0</f>
        <v>0</v>
      </c>
      <c r="M1448" s="25">
        <f>13</f>
        <v>13</v>
      </c>
      <c r="N1448" s="24" t="e">
        <f>M1448/L1448</f>
        <v>#DIV/0!</v>
      </c>
      <c r="O1448" s="23"/>
    </row>
    <row r="1449" spans="1:15" s="54" customFormat="1" x14ac:dyDescent="0.2">
      <c r="A1449" s="84">
        <v>658502</v>
      </c>
      <c r="B1449" s="86" t="s">
        <v>1605</v>
      </c>
      <c r="C1449" s="2" t="s">
        <v>300</v>
      </c>
      <c r="D1449" s="7">
        <f>6+6+9+0</f>
        <v>21</v>
      </c>
      <c r="E1449" s="7">
        <f>0+0+0</f>
        <v>0</v>
      </c>
      <c r="F1449" s="17">
        <f>14+14+12+1</f>
        <v>41</v>
      </c>
      <c r="G1449" s="17">
        <f>3+3+2+0</f>
        <v>8</v>
      </c>
      <c r="H1449" s="17">
        <f>252+305+101+6</f>
        <v>664</v>
      </c>
      <c r="I1449" s="16">
        <f>H1449/(F1449-G1449)</f>
        <v>20.121212121212121</v>
      </c>
      <c r="J1449" s="17">
        <v>99</v>
      </c>
      <c r="K1449" s="25">
        <f>1+5+1</f>
        <v>7</v>
      </c>
      <c r="L1449" s="25">
        <f>0+2+0</f>
        <v>2</v>
      </c>
      <c r="M1449" s="25">
        <f>14+31+7</f>
        <v>52</v>
      </c>
      <c r="N1449" s="24">
        <f>M1449/L1449</f>
        <v>26</v>
      </c>
      <c r="O1449" s="49" t="s">
        <v>1645</v>
      </c>
    </row>
    <row r="1450" spans="1:15" s="54" customFormat="1" x14ac:dyDescent="0.2">
      <c r="A1450" s="84">
        <v>676213</v>
      </c>
      <c r="B1450" s="2" t="s">
        <v>1996</v>
      </c>
      <c r="C1450" s="2" t="s">
        <v>29</v>
      </c>
      <c r="D1450" s="7">
        <f>0+0</f>
        <v>0</v>
      </c>
      <c r="E1450" s="7">
        <f>0</f>
        <v>0</v>
      </c>
      <c r="F1450" s="17">
        <f>6+6</f>
        <v>12</v>
      </c>
      <c r="G1450" s="17">
        <f>2+3</f>
        <v>5</v>
      </c>
      <c r="H1450" s="17">
        <f>8+9</f>
        <v>17</v>
      </c>
      <c r="I1450" s="16">
        <f>H1450/(F1450-G1450)</f>
        <v>2.4285714285714284</v>
      </c>
      <c r="J1450" s="17" t="s">
        <v>271</v>
      </c>
      <c r="K1450" s="25">
        <f>36+2</f>
        <v>38</v>
      </c>
      <c r="L1450" s="25">
        <f>5+0</f>
        <v>5</v>
      </c>
      <c r="M1450" s="25">
        <f>114+18</f>
        <v>132</v>
      </c>
      <c r="N1450" s="24">
        <f>M1450/L1450</f>
        <v>26.4</v>
      </c>
      <c r="O1450" s="49" t="s">
        <v>1391</v>
      </c>
    </row>
    <row r="1451" spans="1:15" s="54" customFormat="1" x14ac:dyDescent="0.2">
      <c r="A1451" s="57">
        <v>1224444</v>
      </c>
      <c r="B1451" s="69" t="s">
        <v>1425</v>
      </c>
      <c r="C1451" s="58" t="s">
        <v>83</v>
      </c>
      <c r="D1451" s="59">
        <f>0+5+6+5+9+5+8+3+9</f>
        <v>50</v>
      </c>
      <c r="E1451" s="59">
        <f>0+0+0+0+0+0+0</f>
        <v>0</v>
      </c>
      <c r="F1451" s="60">
        <f>5+14+12+13+13+16+13+11+11</f>
        <v>108</v>
      </c>
      <c r="G1451" s="60">
        <f>1+3+3+1+0+3+1+2+2</f>
        <v>16</v>
      </c>
      <c r="H1451" s="60">
        <f>3+81+130+92+264+318+236+127+200</f>
        <v>1451</v>
      </c>
      <c r="I1451" s="61">
        <f>H1451/(F1451-G1451)</f>
        <v>15.771739130434783</v>
      </c>
      <c r="J1451" s="60">
        <v>72</v>
      </c>
      <c r="K1451" s="62">
        <f>6+29+59.3+51+48+48+33+67.1+46.6</f>
        <v>388</v>
      </c>
      <c r="L1451" s="62">
        <f>0+8+12+9+11+8+8+6+10</f>
        <v>72</v>
      </c>
      <c r="M1451" s="62">
        <f>32+132+223+209+176+161+107+267+206</f>
        <v>1513</v>
      </c>
      <c r="N1451" s="63">
        <f>M1451/L1451</f>
        <v>21.013888888888889</v>
      </c>
      <c r="O1451" s="66" t="s">
        <v>1462</v>
      </c>
    </row>
    <row r="1452" spans="1:15" s="54" customFormat="1" x14ac:dyDescent="0.2">
      <c r="A1452" s="4"/>
      <c r="B1452" s="2" t="s">
        <v>1222</v>
      </c>
      <c r="C1452" s="2" t="s">
        <v>15</v>
      </c>
      <c r="D1452" s="7">
        <v>1</v>
      </c>
      <c r="E1452" s="7"/>
      <c r="F1452" s="17">
        <v>4</v>
      </c>
      <c r="G1452" s="17">
        <v>0</v>
      </c>
      <c r="H1452" s="17">
        <v>20</v>
      </c>
      <c r="I1452" s="16">
        <f>H1452/(F1452-G1452)</f>
        <v>5</v>
      </c>
      <c r="J1452" s="17">
        <v>16</v>
      </c>
      <c r="K1452" s="25">
        <v>14</v>
      </c>
      <c r="L1452" s="25">
        <v>2</v>
      </c>
      <c r="M1452" s="25">
        <v>36</v>
      </c>
      <c r="N1452" s="24">
        <f>M1452/L1452</f>
        <v>18</v>
      </c>
      <c r="O1452" s="23"/>
    </row>
    <row r="1453" spans="1:15" s="54" customFormat="1" x14ac:dyDescent="0.2">
      <c r="A1453" s="4"/>
      <c r="B1453" s="4" t="s">
        <v>1223</v>
      </c>
      <c r="C1453" s="2" t="s">
        <v>290</v>
      </c>
      <c r="D1453" s="7">
        <f>5</f>
        <v>5</v>
      </c>
      <c r="E1453" s="7"/>
      <c r="F1453" s="17">
        <f>9</f>
        <v>9</v>
      </c>
      <c r="G1453" s="17">
        <f>4</f>
        <v>4</v>
      </c>
      <c r="H1453" s="17">
        <f>12</f>
        <v>12</v>
      </c>
      <c r="I1453" s="16">
        <f>H1453/(F1453-G1453)</f>
        <v>2.4</v>
      </c>
      <c r="J1453" s="17" t="s">
        <v>281</v>
      </c>
      <c r="K1453" s="25">
        <f>54.5</f>
        <v>54.5</v>
      </c>
      <c r="L1453" s="25">
        <f>9</f>
        <v>9</v>
      </c>
      <c r="M1453" s="25">
        <f>127</f>
        <v>127</v>
      </c>
      <c r="N1453" s="24">
        <f>M1453/L1453</f>
        <v>14.111111111111111</v>
      </c>
      <c r="O1453" s="23"/>
    </row>
    <row r="1454" spans="1:15" s="54" customFormat="1" x14ac:dyDescent="0.2">
      <c r="A1454" s="84">
        <v>1546229</v>
      </c>
      <c r="B1454" s="86" t="s">
        <v>1606</v>
      </c>
      <c r="C1454" s="2" t="s">
        <v>1607</v>
      </c>
      <c r="D1454" s="7">
        <f>1</f>
        <v>1</v>
      </c>
      <c r="E1454" s="7">
        <f>0</f>
        <v>0</v>
      </c>
      <c r="F1454" s="17">
        <f>2</f>
        <v>2</v>
      </c>
      <c r="G1454" s="17">
        <f>2</f>
        <v>2</v>
      </c>
      <c r="H1454" s="17">
        <f>5</f>
        <v>5</v>
      </c>
      <c r="I1454" s="16" t="e">
        <f>H1454/(F1454-G1454)</f>
        <v>#DIV/0!</v>
      </c>
      <c r="J1454" s="17" t="s">
        <v>1346</v>
      </c>
      <c r="K1454" s="25">
        <f>33</f>
        <v>33</v>
      </c>
      <c r="L1454" s="25">
        <f>4</f>
        <v>4</v>
      </c>
      <c r="M1454" s="25">
        <f>142</f>
        <v>142</v>
      </c>
      <c r="N1454" s="24">
        <f>M1454/L1454</f>
        <v>35.5</v>
      </c>
      <c r="O1454" s="49" t="s">
        <v>1649</v>
      </c>
    </row>
    <row r="1455" spans="1:15" s="54" customFormat="1" x14ac:dyDescent="0.2">
      <c r="A1455" s="4">
        <v>681855</v>
      </c>
      <c r="B1455" s="4" t="s">
        <v>1341</v>
      </c>
      <c r="C1455" s="2" t="s">
        <v>1342</v>
      </c>
      <c r="D1455" s="7">
        <f>1+1+2+2</f>
        <v>6</v>
      </c>
      <c r="E1455" s="7">
        <f>0</f>
        <v>0</v>
      </c>
      <c r="F1455" s="17">
        <f>16+5+5+5</f>
        <v>31</v>
      </c>
      <c r="G1455" s="17">
        <f>4+0+1</f>
        <v>5</v>
      </c>
      <c r="H1455" s="17">
        <f>57+7+22+6</f>
        <v>92</v>
      </c>
      <c r="I1455" s="16">
        <f>H1455/(F1455-G1455)</f>
        <v>3.5384615384615383</v>
      </c>
      <c r="J1455" s="17" t="s">
        <v>279</v>
      </c>
      <c r="K1455" s="25">
        <f>36+19+34.1+33</f>
        <v>122.1</v>
      </c>
      <c r="L1455" s="25">
        <f>2+1+6+7</f>
        <v>16</v>
      </c>
      <c r="M1455" s="25">
        <f>104+57+74+115</f>
        <v>350</v>
      </c>
      <c r="N1455" s="24">
        <f>M1455/L1455</f>
        <v>21.875</v>
      </c>
      <c r="O1455" s="49" t="s">
        <v>1391</v>
      </c>
    </row>
    <row r="1456" spans="1:15" s="54" customFormat="1" x14ac:dyDescent="0.2">
      <c r="A1456" s="4"/>
      <c r="B1456" s="2" t="s">
        <v>1224</v>
      </c>
      <c r="C1456" s="2" t="s">
        <v>12</v>
      </c>
      <c r="D1456" s="7"/>
      <c r="E1456" s="7"/>
      <c r="F1456" s="17">
        <v>7</v>
      </c>
      <c r="G1456" s="17"/>
      <c r="H1456" s="17">
        <v>41</v>
      </c>
      <c r="I1456" s="16">
        <f>H1456/(F1456-G1456)</f>
        <v>5.8571428571428568</v>
      </c>
      <c r="J1456" s="17">
        <v>16</v>
      </c>
      <c r="K1456" s="25"/>
      <c r="L1456" s="25"/>
      <c r="M1456" s="25"/>
      <c r="N1456" s="24" t="e">
        <f>M1456/L1456</f>
        <v>#DIV/0!</v>
      </c>
      <c r="O1456" s="23"/>
    </row>
    <row r="1457" spans="1:15" s="54" customFormat="1" x14ac:dyDescent="0.2">
      <c r="A1457" s="4"/>
      <c r="B1457" s="2" t="s">
        <v>1225</v>
      </c>
      <c r="C1457" s="2" t="s">
        <v>64</v>
      </c>
      <c r="D1457" s="8">
        <v>27</v>
      </c>
      <c r="E1457" s="7">
        <v>3</v>
      </c>
      <c r="F1457" s="15">
        <f>2+1+2+2+1+1+1+1+1+1+1+12+2+10+17+2+11+3+10+9</f>
        <v>90</v>
      </c>
      <c r="G1457" s="15">
        <f>1+1+1+3+3+0+2+1+1+1+0</f>
        <v>14</v>
      </c>
      <c r="H1457" s="15">
        <f>1+1+3+4+0+0+1+7+0+1+3+1+0+53+175+50+8+85+21+33+54</f>
        <v>501</v>
      </c>
      <c r="I1457" s="16">
        <f>H1457/(F1457-G1457)</f>
        <v>6.5921052631578947</v>
      </c>
      <c r="J1457" s="17" t="s">
        <v>293</v>
      </c>
      <c r="K1457" s="23">
        <f>4+4+2+3+4+2+3+3+3+1+2+4+17+4+9+23+11+7+11+9</f>
        <v>126</v>
      </c>
      <c r="L1457" s="23">
        <f>0+0+0+0+1+1+0+0+0+0+0+0+2+1+2+2+0+3+1</f>
        <v>13</v>
      </c>
      <c r="M1457" s="23">
        <f>15+17+19+7+25+4+11+20+6+8+11+13+63+17+36+102+48+36+27+47</f>
        <v>532</v>
      </c>
      <c r="N1457" s="24">
        <f>M1457/L1457</f>
        <v>40.92307692307692</v>
      </c>
      <c r="O1457" s="23"/>
    </row>
    <row r="1458" spans="1:15" s="54" customFormat="1" x14ac:dyDescent="0.2">
      <c r="A1458" s="4"/>
      <c r="B1458" s="4" t="s">
        <v>1226</v>
      </c>
      <c r="C1458" s="2" t="s">
        <v>280</v>
      </c>
      <c r="D1458" s="7">
        <v>1</v>
      </c>
      <c r="E1458" s="7"/>
      <c r="F1458" s="17">
        <v>11</v>
      </c>
      <c r="G1458" s="17">
        <v>2</v>
      </c>
      <c r="H1458" s="17">
        <v>21</v>
      </c>
      <c r="I1458" s="16">
        <f>H1458/(F1458-G1458)</f>
        <v>2.3333333333333335</v>
      </c>
      <c r="J1458" s="17" t="s">
        <v>281</v>
      </c>
      <c r="K1458" s="25">
        <v>34</v>
      </c>
      <c r="L1458" s="25">
        <v>5</v>
      </c>
      <c r="M1458" s="25">
        <v>201</v>
      </c>
      <c r="N1458" s="24">
        <f>M1458/L1458</f>
        <v>40.200000000000003</v>
      </c>
      <c r="O1458" s="23"/>
    </row>
    <row r="1459" spans="1:15" s="54" customFormat="1" x14ac:dyDescent="0.2">
      <c r="A1459" s="4"/>
      <c r="B1459" s="2" t="s">
        <v>1227</v>
      </c>
      <c r="C1459" s="2" t="s">
        <v>18</v>
      </c>
      <c r="D1459" s="7">
        <v>3</v>
      </c>
      <c r="E1459" s="7"/>
      <c r="F1459" s="15">
        <v>7</v>
      </c>
      <c r="G1459" s="15"/>
      <c r="H1459" s="15">
        <v>21</v>
      </c>
      <c r="I1459" s="16">
        <f>H1459/(F1459-G1459)</f>
        <v>3</v>
      </c>
      <c r="J1459" s="17">
        <v>11</v>
      </c>
      <c r="K1459" s="23">
        <v>2</v>
      </c>
      <c r="L1459" s="23">
        <v>0</v>
      </c>
      <c r="M1459" s="23">
        <v>19</v>
      </c>
      <c r="N1459" s="24" t="e">
        <f>M1459/L1459</f>
        <v>#DIV/0!</v>
      </c>
      <c r="O1459" s="23"/>
    </row>
    <row r="1460" spans="1:15" s="54" customFormat="1" x14ac:dyDescent="0.2">
      <c r="A1460" s="4"/>
      <c r="B1460" s="2" t="s">
        <v>1228</v>
      </c>
      <c r="C1460" s="2" t="s">
        <v>66</v>
      </c>
      <c r="D1460" s="7">
        <v>9</v>
      </c>
      <c r="E1460" s="7"/>
      <c r="F1460" s="15">
        <f>4+1</f>
        <v>5</v>
      </c>
      <c r="G1460" s="15">
        <f>1+1</f>
        <v>2</v>
      </c>
      <c r="H1460" s="15">
        <f>3+1</f>
        <v>4</v>
      </c>
      <c r="I1460" s="16">
        <f>H1460/(F1460-G1460)</f>
        <v>1.3333333333333333</v>
      </c>
      <c r="J1460" s="17">
        <v>2</v>
      </c>
      <c r="K1460" s="23">
        <v>38.5</v>
      </c>
      <c r="L1460" s="23">
        <v>10</v>
      </c>
      <c r="M1460" s="23">
        <v>162</v>
      </c>
      <c r="N1460" s="24">
        <f>M1460/L1460</f>
        <v>16.2</v>
      </c>
      <c r="O1460" s="23"/>
    </row>
    <row r="1461" spans="1:15" s="54" customFormat="1" x14ac:dyDescent="0.2">
      <c r="A1461" s="57"/>
      <c r="B1461" s="58" t="s">
        <v>2732</v>
      </c>
      <c r="C1461" s="58" t="s">
        <v>2733</v>
      </c>
      <c r="D1461" s="59">
        <v>1</v>
      </c>
      <c r="E1461" s="59"/>
      <c r="F1461" s="60">
        <v>13</v>
      </c>
      <c r="G1461" s="60">
        <v>3</v>
      </c>
      <c r="H1461" s="60">
        <v>80</v>
      </c>
      <c r="I1461" s="61">
        <f>H1461/(F1461-G1461)</f>
        <v>8</v>
      </c>
      <c r="J1461" s="60">
        <v>20</v>
      </c>
      <c r="K1461" s="62">
        <v>78</v>
      </c>
      <c r="L1461" s="62">
        <v>18</v>
      </c>
      <c r="M1461" s="62">
        <v>233</v>
      </c>
      <c r="N1461" s="63">
        <f>M1461/L1461</f>
        <v>12.944444444444445</v>
      </c>
      <c r="O1461" s="66" t="s">
        <v>2468</v>
      </c>
    </row>
    <row r="1462" spans="1:15" s="54" customFormat="1" x14ac:dyDescent="0.2">
      <c r="A1462" s="4">
        <v>2159043</v>
      </c>
      <c r="B1462" s="2" t="s">
        <v>2436</v>
      </c>
      <c r="C1462" s="2" t="s">
        <v>2437</v>
      </c>
      <c r="D1462" s="7">
        <f>0+1</f>
        <v>1</v>
      </c>
      <c r="E1462" s="7">
        <f>0+0</f>
        <v>0</v>
      </c>
      <c r="F1462" s="17">
        <f>2+3</f>
        <v>5</v>
      </c>
      <c r="G1462" s="17">
        <f>1+1</f>
        <v>2</v>
      </c>
      <c r="H1462" s="17">
        <f>1+11</f>
        <v>12</v>
      </c>
      <c r="I1462" s="16">
        <f>H1462/(F1462-G1462)</f>
        <v>4</v>
      </c>
      <c r="J1462" s="17" t="s">
        <v>271</v>
      </c>
      <c r="K1462" s="25">
        <f>3+10.2</f>
        <v>13.2</v>
      </c>
      <c r="L1462" s="25">
        <f>0+5</f>
        <v>5</v>
      </c>
      <c r="M1462" s="25">
        <f>16+36</f>
        <v>52</v>
      </c>
      <c r="N1462" s="24">
        <f>M1462/L1462</f>
        <v>10.4</v>
      </c>
      <c r="O1462" s="49" t="s">
        <v>2276</v>
      </c>
    </row>
    <row r="1463" spans="1:15" s="54" customFormat="1" x14ac:dyDescent="0.2">
      <c r="A1463" s="4">
        <v>2272801</v>
      </c>
      <c r="B1463" s="2" t="s">
        <v>2565</v>
      </c>
      <c r="C1463" s="2" t="s">
        <v>2566</v>
      </c>
      <c r="D1463" s="7">
        <v>4</v>
      </c>
      <c r="E1463" s="7">
        <v>0</v>
      </c>
      <c r="F1463" s="17">
        <v>6</v>
      </c>
      <c r="G1463" s="17">
        <v>0</v>
      </c>
      <c r="H1463" s="17">
        <v>64</v>
      </c>
      <c r="I1463" s="16">
        <f>H1463/(F1463-G1463)</f>
        <v>10.666666666666666</v>
      </c>
      <c r="J1463" s="17">
        <v>33</v>
      </c>
      <c r="K1463" s="25">
        <v>19.100000000000001</v>
      </c>
      <c r="L1463" s="25">
        <v>2</v>
      </c>
      <c r="M1463" s="25">
        <v>100</v>
      </c>
      <c r="N1463" s="24">
        <f>M1463/L1463</f>
        <v>50</v>
      </c>
      <c r="O1463" s="49" t="s">
        <v>2567</v>
      </c>
    </row>
    <row r="1464" spans="1:15" s="54" customFormat="1" x14ac:dyDescent="0.2">
      <c r="A1464" s="4"/>
      <c r="B1464" s="4" t="s">
        <v>1230</v>
      </c>
      <c r="C1464" s="2" t="s">
        <v>119</v>
      </c>
      <c r="D1464" s="7">
        <f>0</f>
        <v>0</v>
      </c>
      <c r="E1464" s="7"/>
      <c r="F1464" s="17">
        <f>2</f>
        <v>2</v>
      </c>
      <c r="G1464" s="17">
        <f>0</f>
        <v>0</v>
      </c>
      <c r="H1464" s="17">
        <v>28</v>
      </c>
      <c r="I1464" s="16">
        <f>H1464/(F1464-G1464)</f>
        <v>14</v>
      </c>
      <c r="J1464" s="17">
        <v>21</v>
      </c>
      <c r="K1464" s="25"/>
      <c r="L1464" s="25"/>
      <c r="M1464" s="25"/>
      <c r="N1464" s="24" t="e">
        <f>M1464/L1464</f>
        <v>#DIV/0!</v>
      </c>
      <c r="O1464" s="23"/>
    </row>
    <row r="1465" spans="1:15" s="54" customFormat="1" x14ac:dyDescent="0.2">
      <c r="A1465" s="4">
        <v>666791</v>
      </c>
      <c r="B1465" s="4" t="s">
        <v>1229</v>
      </c>
      <c r="C1465" s="2" t="s">
        <v>299</v>
      </c>
      <c r="D1465" s="7">
        <f>5+4+0+6+0+0+1+3+3+4+1+5+2+0</f>
        <v>34</v>
      </c>
      <c r="E1465" s="7">
        <f>0+0+0+0+0</f>
        <v>0</v>
      </c>
      <c r="F1465" s="17">
        <f>11+14+2+8+8+1+1+10+10+2+6+5+3+1+4</f>
        <v>86</v>
      </c>
      <c r="G1465" s="17">
        <f>1+0+1+0+1+0+2+1+0+2+4+1+1+0</f>
        <v>14</v>
      </c>
      <c r="H1465" s="17">
        <f>176+89+1+102+108+2+4+126+49+11+63+19+1+0+23</f>
        <v>774</v>
      </c>
      <c r="I1465" s="16">
        <f>H1465/(F1465-G1465)</f>
        <v>10.75</v>
      </c>
      <c r="J1465" s="17">
        <v>69</v>
      </c>
      <c r="K1465" s="25">
        <f>83+67.4+6+91.6+66+6+4+53+127.2+140+121.2+84+76.3+(0.4)+62.5+(0.4)+44.1</f>
        <v>1033.0999999999999</v>
      </c>
      <c r="L1465" s="25">
        <f>21+13+0+28+9+2+0+6+22+23+21+10+16+6+15</f>
        <v>192</v>
      </c>
      <c r="M1465" s="25">
        <f>184+221+25+227+182+10+39+251+380+424+384+263+258+253+182</f>
        <v>3283</v>
      </c>
      <c r="N1465" s="24">
        <f>M1465/L1465</f>
        <v>17.098958333333332</v>
      </c>
      <c r="O1465" s="49" t="s">
        <v>1810</v>
      </c>
    </row>
    <row r="1466" spans="1:15" s="54" customFormat="1" x14ac:dyDescent="0.2">
      <c r="A1466" s="84">
        <v>1902686</v>
      </c>
      <c r="B1466" s="2" t="s">
        <v>2249</v>
      </c>
      <c r="C1466" s="2" t="s">
        <v>2250</v>
      </c>
      <c r="D1466" s="7">
        <f>0</f>
        <v>0</v>
      </c>
      <c r="E1466" s="7"/>
      <c r="F1466" s="17"/>
      <c r="G1466" s="17"/>
      <c r="H1466" s="17"/>
      <c r="I1466" s="16" t="e">
        <f>H1466/(F1466-G1466)</f>
        <v>#DIV/0!</v>
      </c>
      <c r="J1466" s="17"/>
      <c r="K1466" s="25">
        <f>2</f>
        <v>2</v>
      </c>
      <c r="L1466" s="25">
        <f>0</f>
        <v>0</v>
      </c>
      <c r="M1466" s="25">
        <f>3</f>
        <v>3</v>
      </c>
      <c r="N1466" s="24" t="e">
        <f>M1466/L1466</f>
        <v>#DIV/0!</v>
      </c>
      <c r="O1466" s="49" t="s">
        <v>1382</v>
      </c>
    </row>
    <row r="1467" spans="1:15" s="54" customFormat="1" x14ac:dyDescent="0.2">
      <c r="A1467" s="84">
        <v>1854306</v>
      </c>
      <c r="B1467" s="2" t="s">
        <v>2251</v>
      </c>
      <c r="C1467" s="2" t="s">
        <v>2252</v>
      </c>
      <c r="D1467" s="7">
        <f>0+1+1</f>
        <v>2</v>
      </c>
      <c r="E1467" s="7">
        <f>0+0</f>
        <v>0</v>
      </c>
      <c r="F1467" s="17">
        <f>6+7+7</f>
        <v>20</v>
      </c>
      <c r="G1467" s="17">
        <f>6+0+3</f>
        <v>9</v>
      </c>
      <c r="H1467" s="17">
        <f>40+20+14</f>
        <v>74</v>
      </c>
      <c r="I1467" s="16">
        <f>H1467/(F1467-G1467)</f>
        <v>6.7272727272727275</v>
      </c>
      <c r="J1467" s="17" t="s">
        <v>442</v>
      </c>
      <c r="K1467" s="25">
        <f>16+15.4+18</f>
        <v>49.4</v>
      </c>
      <c r="L1467" s="25">
        <f>2+3+0</f>
        <v>5</v>
      </c>
      <c r="M1467" s="25">
        <f>52+73+96</f>
        <v>221</v>
      </c>
      <c r="N1467" s="24">
        <f>M1467/L1467</f>
        <v>44.2</v>
      </c>
      <c r="O1467" s="49" t="s">
        <v>1645</v>
      </c>
    </row>
    <row r="1468" spans="1:15" s="54" customFormat="1" x14ac:dyDescent="0.2">
      <c r="A1468" s="84">
        <v>1854310</v>
      </c>
      <c r="B1468" s="2" t="s">
        <v>2253</v>
      </c>
      <c r="C1468" s="2" t="s">
        <v>2254</v>
      </c>
      <c r="D1468" s="7">
        <f>0+0+2</f>
        <v>2</v>
      </c>
      <c r="E1468" s="7">
        <f>0</f>
        <v>0</v>
      </c>
      <c r="F1468" s="17">
        <f>6+7+8</f>
        <v>21</v>
      </c>
      <c r="G1468" s="17">
        <f>6+2+2</f>
        <v>10</v>
      </c>
      <c r="H1468" s="17">
        <f>15+10+8</f>
        <v>33</v>
      </c>
      <c r="I1468" s="16">
        <f>H1468/(F1468-G1468)</f>
        <v>3</v>
      </c>
      <c r="J1468" s="17" t="s">
        <v>347</v>
      </c>
      <c r="K1468" s="25">
        <f>19+14+19.2</f>
        <v>52.2</v>
      </c>
      <c r="L1468" s="25">
        <f>3+2+4</f>
        <v>9</v>
      </c>
      <c r="M1468" s="25">
        <f>44+66+99</f>
        <v>209</v>
      </c>
      <c r="N1468" s="24">
        <f>M1468/L1468</f>
        <v>23.222222222222221</v>
      </c>
      <c r="O1468" s="49" t="s">
        <v>1795</v>
      </c>
    </row>
    <row r="1469" spans="1:15" s="54" customFormat="1" x14ac:dyDescent="0.2">
      <c r="A1469" s="84">
        <v>1759385</v>
      </c>
      <c r="B1469" s="2" t="s">
        <v>1997</v>
      </c>
      <c r="C1469" s="2" t="s">
        <v>1998</v>
      </c>
      <c r="D1469" s="7">
        <f>2+3+0</f>
        <v>5</v>
      </c>
      <c r="E1469" s="7">
        <f>0</f>
        <v>0</v>
      </c>
      <c r="F1469" s="17">
        <f>4+6+2</f>
        <v>12</v>
      </c>
      <c r="G1469" s="17">
        <f>2+2+0</f>
        <v>4</v>
      </c>
      <c r="H1469" s="17">
        <f>10+29+10</f>
        <v>49</v>
      </c>
      <c r="I1469" s="16">
        <f>H1469/(F1469-G1469)</f>
        <v>6.125</v>
      </c>
      <c r="J1469" s="17">
        <v>11</v>
      </c>
      <c r="K1469" s="25">
        <f>18+16+4</f>
        <v>38</v>
      </c>
      <c r="L1469" s="25">
        <f>7+3+1</f>
        <v>11</v>
      </c>
      <c r="M1469" s="25">
        <f>44+65+39</f>
        <v>148</v>
      </c>
      <c r="N1469" s="24">
        <f>M1469/L1469</f>
        <v>13.454545454545455</v>
      </c>
      <c r="O1469" s="49" t="s">
        <v>1464</v>
      </c>
    </row>
    <row r="1470" spans="1:15" s="54" customFormat="1" x14ac:dyDescent="0.2">
      <c r="A1470" s="4">
        <v>1307320</v>
      </c>
      <c r="B1470" s="77" t="s">
        <v>2438</v>
      </c>
      <c r="C1470" s="73" t="s">
        <v>2439</v>
      </c>
      <c r="D1470" s="7">
        <f>3</f>
        <v>3</v>
      </c>
      <c r="E1470" s="7">
        <f>0</f>
        <v>0</v>
      </c>
      <c r="F1470" s="17">
        <f>12</f>
        <v>12</v>
      </c>
      <c r="G1470" s="17">
        <f>2</f>
        <v>2</v>
      </c>
      <c r="H1470" s="17">
        <f>96</f>
        <v>96</v>
      </c>
      <c r="I1470" s="16">
        <f>H1470/(F1470-G1470)</f>
        <v>9.6</v>
      </c>
      <c r="J1470" s="17" t="s">
        <v>436</v>
      </c>
      <c r="K1470" s="25">
        <f>2</f>
        <v>2</v>
      </c>
      <c r="L1470" s="25">
        <f>0</f>
        <v>0</v>
      </c>
      <c r="M1470" s="25">
        <f>19</f>
        <v>19</v>
      </c>
      <c r="N1470" s="24" t="e">
        <f>M1470/L1470</f>
        <v>#DIV/0!</v>
      </c>
      <c r="O1470" s="23"/>
    </row>
    <row r="1471" spans="1:15" s="54" customFormat="1" x14ac:dyDescent="0.2">
      <c r="A1471" s="4"/>
      <c r="B1471" s="2" t="s">
        <v>1231</v>
      </c>
      <c r="C1471" s="2" t="s">
        <v>75</v>
      </c>
      <c r="D1471" s="7">
        <v>56</v>
      </c>
      <c r="E1471" s="7"/>
      <c r="F1471" s="17">
        <v>112</v>
      </c>
      <c r="G1471" s="17">
        <v>10</v>
      </c>
      <c r="H1471" s="17">
        <v>2104</v>
      </c>
      <c r="I1471" s="16">
        <f>H1471/(F1471-G1471)</f>
        <v>20.627450980392158</v>
      </c>
      <c r="J1471" s="17" t="s">
        <v>441</v>
      </c>
      <c r="K1471" s="25">
        <v>14</v>
      </c>
      <c r="L1471" s="25">
        <v>2</v>
      </c>
      <c r="M1471" s="25">
        <v>105</v>
      </c>
      <c r="N1471" s="24">
        <f>M1471/L1471</f>
        <v>52.5</v>
      </c>
      <c r="O1471" s="23"/>
    </row>
    <row r="1472" spans="1:15" s="54" customFormat="1" x14ac:dyDescent="0.2">
      <c r="A1472" s="4"/>
      <c r="B1472" s="2" t="s">
        <v>1232</v>
      </c>
      <c r="C1472" s="2" t="s">
        <v>76</v>
      </c>
      <c r="D1472" s="7">
        <v>19</v>
      </c>
      <c r="E1472" s="7"/>
      <c r="F1472" s="15">
        <v>50</v>
      </c>
      <c r="G1472" s="17">
        <v>6</v>
      </c>
      <c r="H1472" s="15">
        <v>822</v>
      </c>
      <c r="I1472" s="16">
        <f>H1472/(F1472-G1472)</f>
        <v>18.681818181818183</v>
      </c>
      <c r="J1472" s="17" t="s">
        <v>308</v>
      </c>
      <c r="K1472" s="23">
        <v>285</v>
      </c>
      <c r="L1472" s="23">
        <v>52</v>
      </c>
      <c r="M1472" s="23">
        <v>966</v>
      </c>
      <c r="N1472" s="24">
        <f>M1472/L1472</f>
        <v>18.576923076923077</v>
      </c>
      <c r="O1472" s="23"/>
    </row>
    <row r="1473" spans="1:15" s="54" customFormat="1" x14ac:dyDescent="0.2">
      <c r="A1473" s="4"/>
      <c r="B1473" s="2" t="s">
        <v>1233</v>
      </c>
      <c r="C1473" s="2" t="s">
        <v>43</v>
      </c>
      <c r="D1473" s="7">
        <f>1+0</f>
        <v>1</v>
      </c>
      <c r="E1473" s="7"/>
      <c r="F1473" s="17">
        <f>3+12</f>
        <v>15</v>
      </c>
      <c r="G1473" s="17">
        <f>1+2</f>
        <v>3</v>
      </c>
      <c r="H1473" s="17">
        <f>17+72</f>
        <v>89</v>
      </c>
      <c r="I1473" s="16">
        <f>H1473/(F1473-G1473)</f>
        <v>7.416666666666667</v>
      </c>
      <c r="J1473" s="17">
        <v>25</v>
      </c>
      <c r="K1473" s="25">
        <f>20+53</f>
        <v>73</v>
      </c>
      <c r="L1473" s="25">
        <f>1+10</f>
        <v>11</v>
      </c>
      <c r="M1473" s="25">
        <f>79+182</f>
        <v>261</v>
      </c>
      <c r="N1473" s="24">
        <f>M1473/L1473</f>
        <v>23.727272727272727</v>
      </c>
      <c r="O1473" s="23"/>
    </row>
    <row r="1474" spans="1:15" s="54" customFormat="1" x14ac:dyDescent="0.2">
      <c r="A1474" s="4"/>
      <c r="B1474" s="2" t="s">
        <v>1234</v>
      </c>
      <c r="C1474" s="2" t="s">
        <v>11</v>
      </c>
      <c r="D1474" s="7">
        <v>2</v>
      </c>
      <c r="E1474" s="7"/>
      <c r="F1474" s="17">
        <v>19</v>
      </c>
      <c r="G1474" s="17">
        <v>4</v>
      </c>
      <c r="H1474" s="17">
        <v>56</v>
      </c>
      <c r="I1474" s="16">
        <f>H1474/(F1474-G1474)</f>
        <v>3.7333333333333334</v>
      </c>
      <c r="J1474" s="17">
        <v>18</v>
      </c>
      <c r="K1474" s="25">
        <v>2</v>
      </c>
      <c r="L1474" s="25"/>
      <c r="M1474" s="25">
        <v>21</v>
      </c>
      <c r="N1474" s="24" t="e">
        <f>M1474/L1474</f>
        <v>#DIV/0!</v>
      </c>
      <c r="O1474" s="23"/>
    </row>
    <row r="1475" spans="1:15" s="54" customFormat="1" x14ac:dyDescent="0.2">
      <c r="A1475" s="4"/>
      <c r="B1475" s="2" t="s">
        <v>1235</v>
      </c>
      <c r="C1475" s="2" t="s">
        <v>17</v>
      </c>
      <c r="D1475" s="7">
        <v>11</v>
      </c>
      <c r="E1475" s="7"/>
      <c r="F1475" s="17">
        <v>27</v>
      </c>
      <c r="G1475" s="17">
        <v>2</v>
      </c>
      <c r="H1475" s="17">
        <v>406</v>
      </c>
      <c r="I1475" s="16">
        <f>H1475/(F1475-G1475)</f>
        <v>16.239999999999998</v>
      </c>
      <c r="J1475" s="17" t="s">
        <v>293</v>
      </c>
      <c r="K1475" s="25">
        <v>38</v>
      </c>
      <c r="L1475" s="25">
        <v>5</v>
      </c>
      <c r="M1475" s="25">
        <v>119</v>
      </c>
      <c r="N1475" s="24">
        <f>M1475/L1475</f>
        <v>23.8</v>
      </c>
      <c r="O1475" s="23"/>
    </row>
    <row r="1476" spans="1:15" s="54" customFormat="1" x14ac:dyDescent="0.2">
      <c r="A1476" s="4"/>
      <c r="B1476" s="4" t="s">
        <v>1236</v>
      </c>
      <c r="C1476" s="2" t="s">
        <v>84</v>
      </c>
      <c r="D1476" s="8">
        <v>20</v>
      </c>
      <c r="E1476" s="7">
        <v>3</v>
      </c>
      <c r="F1476" s="17">
        <f>10+7+1</f>
        <v>18</v>
      </c>
      <c r="G1476" s="17">
        <f>4+1+0</f>
        <v>5</v>
      </c>
      <c r="H1476" s="17">
        <f>103+137+11</f>
        <v>251</v>
      </c>
      <c r="I1476" s="16">
        <f>H1476/(F1476-G1476)</f>
        <v>19.307692307692307</v>
      </c>
      <c r="J1476" s="17">
        <v>43</v>
      </c>
      <c r="K1476" s="25">
        <f>14</f>
        <v>14</v>
      </c>
      <c r="L1476" s="25">
        <f>3</f>
        <v>3</v>
      </c>
      <c r="M1476" s="25">
        <f>28</f>
        <v>28</v>
      </c>
      <c r="N1476" s="24">
        <f>M1476/L1476</f>
        <v>9.3333333333333339</v>
      </c>
      <c r="O1476" s="23"/>
    </row>
    <row r="1477" spans="1:15" s="54" customFormat="1" x14ac:dyDescent="0.2">
      <c r="A1477" s="4">
        <v>605076</v>
      </c>
      <c r="B1477" s="52" t="s">
        <v>1395</v>
      </c>
      <c r="C1477" s="2" t="s">
        <v>1450</v>
      </c>
      <c r="D1477" s="7">
        <f>9+9</f>
        <v>18</v>
      </c>
      <c r="E1477" s="7">
        <f>1+0</f>
        <v>1</v>
      </c>
      <c r="F1477" s="17">
        <f>15+10</f>
        <v>25</v>
      </c>
      <c r="G1477" s="17">
        <f>4+2</f>
        <v>6</v>
      </c>
      <c r="H1477" s="17">
        <f>397+223</f>
        <v>620</v>
      </c>
      <c r="I1477" s="16">
        <f>H1477/(F1477-G1477)</f>
        <v>32.631578947368418</v>
      </c>
      <c r="J1477" s="17">
        <v>79</v>
      </c>
      <c r="K1477" s="25">
        <f>5</f>
        <v>5</v>
      </c>
      <c r="L1477" s="25">
        <f>0</f>
        <v>0</v>
      </c>
      <c r="M1477" s="25">
        <f>30</f>
        <v>30</v>
      </c>
      <c r="N1477" s="24" t="e">
        <f>M1477/L1477</f>
        <v>#DIV/0!</v>
      </c>
      <c r="O1477" s="49" t="s">
        <v>1506</v>
      </c>
    </row>
    <row r="1478" spans="1:15" s="54" customFormat="1" x14ac:dyDescent="0.2">
      <c r="A1478" s="57"/>
      <c r="B1478" s="58" t="s">
        <v>2729</v>
      </c>
      <c r="C1478" s="58" t="s">
        <v>2730</v>
      </c>
      <c r="D1478" s="59">
        <v>0</v>
      </c>
      <c r="E1478" s="59"/>
      <c r="F1478" s="60">
        <v>14</v>
      </c>
      <c r="G1478" s="60">
        <v>2</v>
      </c>
      <c r="H1478" s="60">
        <v>125</v>
      </c>
      <c r="I1478" s="61">
        <f>H1478/(F1478-G1478)</f>
        <v>10.416666666666666</v>
      </c>
      <c r="J1478" s="60">
        <v>28</v>
      </c>
      <c r="K1478" s="62">
        <v>0</v>
      </c>
      <c r="L1478" s="62">
        <v>0</v>
      </c>
      <c r="M1478" s="62">
        <v>0</v>
      </c>
      <c r="N1478" s="63" t="e">
        <f>M1478/L1478</f>
        <v>#DIV/0!</v>
      </c>
      <c r="O1478" s="66"/>
    </row>
    <row r="1479" spans="1:15" s="54" customFormat="1" x14ac:dyDescent="0.2">
      <c r="A1479" s="4">
        <v>2115176</v>
      </c>
      <c r="B1479" s="2" t="s">
        <v>2440</v>
      </c>
      <c r="C1479" s="2" t="s">
        <v>2441</v>
      </c>
      <c r="D1479" s="7">
        <f>1</f>
        <v>1</v>
      </c>
      <c r="E1479" s="7">
        <f>0</f>
        <v>0</v>
      </c>
      <c r="F1479" s="17">
        <f>2</f>
        <v>2</v>
      </c>
      <c r="G1479" s="17">
        <f>1</f>
        <v>1</v>
      </c>
      <c r="H1479" s="17">
        <f>1</f>
        <v>1</v>
      </c>
      <c r="I1479" s="16">
        <f>H1479/(F1479-G1479)</f>
        <v>1</v>
      </c>
      <c r="J1479" s="17" t="s">
        <v>276</v>
      </c>
      <c r="K1479" s="25">
        <f>2</f>
        <v>2</v>
      </c>
      <c r="L1479" s="25">
        <f>1</f>
        <v>1</v>
      </c>
      <c r="M1479" s="25">
        <f>16</f>
        <v>16</v>
      </c>
      <c r="N1479" s="24">
        <f>M1479/L1479</f>
        <v>16</v>
      </c>
      <c r="O1479" s="49" t="s">
        <v>2471</v>
      </c>
    </row>
    <row r="1480" spans="1:15" s="54" customFormat="1" x14ac:dyDescent="0.2">
      <c r="A1480" s="4"/>
      <c r="B1480" s="2" t="s">
        <v>1237</v>
      </c>
      <c r="C1480" s="2" t="s">
        <v>16</v>
      </c>
      <c r="D1480" s="7">
        <v>0</v>
      </c>
      <c r="E1480" s="7"/>
      <c r="F1480" s="17">
        <v>8</v>
      </c>
      <c r="G1480" s="17">
        <v>1</v>
      </c>
      <c r="H1480" s="17">
        <v>3</v>
      </c>
      <c r="I1480" s="16">
        <f>H1480/(F1480-G1480)</f>
        <v>0.42857142857142855</v>
      </c>
      <c r="J1480" s="17">
        <v>2</v>
      </c>
      <c r="K1480" s="25">
        <v>4</v>
      </c>
      <c r="L1480" s="25">
        <v>1</v>
      </c>
      <c r="M1480" s="25">
        <v>21</v>
      </c>
      <c r="N1480" s="24">
        <f>M1480/L1480</f>
        <v>21</v>
      </c>
      <c r="O1480" s="23"/>
    </row>
    <row r="1481" spans="1:15" s="54" customFormat="1" x14ac:dyDescent="0.2">
      <c r="A1481" s="4"/>
      <c r="B1481" s="2" t="s">
        <v>1238</v>
      </c>
      <c r="C1481" s="2" t="s">
        <v>173</v>
      </c>
      <c r="D1481" s="7">
        <v>4</v>
      </c>
      <c r="E1481" s="7"/>
      <c r="F1481" s="17">
        <v>19</v>
      </c>
      <c r="G1481" s="17">
        <v>2</v>
      </c>
      <c r="H1481" s="17">
        <v>304</v>
      </c>
      <c r="I1481" s="16">
        <f>H1481/(F1481-G1481)</f>
        <v>17.882352941176471</v>
      </c>
      <c r="J1481" s="17" t="s">
        <v>448</v>
      </c>
      <c r="K1481" s="25">
        <v>28</v>
      </c>
      <c r="L1481" s="25">
        <v>5</v>
      </c>
      <c r="M1481" s="25">
        <v>134</v>
      </c>
      <c r="N1481" s="24">
        <f>M1481/L1481</f>
        <v>26.8</v>
      </c>
      <c r="O1481" s="23"/>
    </row>
    <row r="1482" spans="1:15" s="54" customFormat="1" x14ac:dyDescent="0.2">
      <c r="A1482" s="4"/>
      <c r="B1482" s="2" t="s">
        <v>1239</v>
      </c>
      <c r="C1482" s="2" t="s">
        <v>94</v>
      </c>
      <c r="D1482" s="7">
        <v>27</v>
      </c>
      <c r="E1482" s="7"/>
      <c r="F1482" s="17">
        <v>86</v>
      </c>
      <c r="G1482" s="17">
        <v>18</v>
      </c>
      <c r="H1482" s="17">
        <v>1100</v>
      </c>
      <c r="I1482" s="16">
        <f>H1482/(F1482-G1482)</f>
        <v>16.176470588235293</v>
      </c>
      <c r="J1482" s="17">
        <v>71</v>
      </c>
      <c r="K1482" s="25">
        <v>462</v>
      </c>
      <c r="L1482" s="25">
        <v>101</v>
      </c>
      <c r="M1482" s="25">
        <v>1021</v>
      </c>
      <c r="N1482" s="24">
        <f>M1482/L1482</f>
        <v>10.108910891089108</v>
      </c>
      <c r="O1482" s="23"/>
    </row>
    <row r="1483" spans="1:15" s="54" customFormat="1" x14ac:dyDescent="0.2">
      <c r="A1483" s="84">
        <v>1763021</v>
      </c>
      <c r="B1483" s="2" t="s">
        <v>1999</v>
      </c>
      <c r="C1483" s="2" t="s">
        <v>1664</v>
      </c>
      <c r="D1483" s="7">
        <f>0+4+1+6</f>
        <v>11</v>
      </c>
      <c r="E1483" s="7">
        <f>0</f>
        <v>0</v>
      </c>
      <c r="F1483" s="17">
        <f>3+14+13</f>
        <v>30</v>
      </c>
      <c r="G1483" s="17">
        <f>0+0+0</f>
        <v>0</v>
      </c>
      <c r="H1483" s="17">
        <f>52+117+182</f>
        <v>351</v>
      </c>
      <c r="I1483" s="16">
        <f>H1483/(F1483-G1483)</f>
        <v>11.7</v>
      </c>
      <c r="J1483" s="17">
        <v>43</v>
      </c>
      <c r="K1483" s="25">
        <f>4+10+8</f>
        <v>22</v>
      </c>
      <c r="L1483" s="25">
        <f>2+4+2</f>
        <v>8</v>
      </c>
      <c r="M1483" s="25">
        <f>18+40+54</f>
        <v>112</v>
      </c>
      <c r="N1483" s="24">
        <f>M1483/L1483</f>
        <v>14</v>
      </c>
      <c r="O1483" s="49" t="s">
        <v>1369</v>
      </c>
    </row>
    <row r="1484" spans="1:15" s="54" customFormat="1" x14ac:dyDescent="0.2">
      <c r="A1484" s="84">
        <v>1889786</v>
      </c>
      <c r="B1484" s="2" t="s">
        <v>2255</v>
      </c>
      <c r="C1484" s="2" t="s">
        <v>2256</v>
      </c>
      <c r="D1484" s="7">
        <f>0</f>
        <v>0</v>
      </c>
      <c r="E1484" s="7"/>
      <c r="F1484" s="17">
        <f>10</f>
        <v>10</v>
      </c>
      <c r="G1484" s="17">
        <f>2</f>
        <v>2</v>
      </c>
      <c r="H1484" s="17">
        <f>33</f>
        <v>33</v>
      </c>
      <c r="I1484" s="16">
        <f>H1484/(F1484-G1484)</f>
        <v>4.125</v>
      </c>
      <c r="J1484" s="17" t="s">
        <v>274</v>
      </c>
      <c r="K1484" s="25"/>
      <c r="L1484" s="25"/>
      <c r="M1484" s="25"/>
      <c r="N1484" s="24" t="e">
        <f>M1484/L1484</f>
        <v>#DIV/0!</v>
      </c>
      <c r="O1484" s="23"/>
    </row>
    <row r="1485" spans="1:15" s="54" customFormat="1" x14ac:dyDescent="0.2">
      <c r="A1485" s="64"/>
      <c r="B1485" s="58" t="s">
        <v>2654</v>
      </c>
      <c r="C1485" s="58" t="s">
        <v>1858</v>
      </c>
      <c r="D1485" s="59">
        <v>0</v>
      </c>
      <c r="E1485" s="59"/>
      <c r="F1485" s="60">
        <v>2</v>
      </c>
      <c r="G1485" s="60">
        <v>0</v>
      </c>
      <c r="H1485" s="60">
        <v>58</v>
      </c>
      <c r="I1485" s="61">
        <f>H1485/(F1485-G1485)</f>
        <v>29</v>
      </c>
      <c r="J1485" s="60">
        <v>44</v>
      </c>
      <c r="K1485" s="62"/>
      <c r="L1485" s="62"/>
      <c r="M1485" s="62"/>
      <c r="N1485" s="63" t="e">
        <f>M1485/L1485</f>
        <v>#DIV/0!</v>
      </c>
      <c r="O1485" s="66"/>
    </row>
    <row r="1486" spans="1:15" s="54" customFormat="1" x14ac:dyDescent="0.2">
      <c r="A1486" s="64">
        <v>1844317</v>
      </c>
      <c r="B1486" s="58" t="s">
        <v>2000</v>
      </c>
      <c r="C1486" s="58" t="s">
        <v>1728</v>
      </c>
      <c r="D1486" s="59">
        <f>0+0</f>
        <v>0</v>
      </c>
      <c r="E1486" s="59">
        <f>0</f>
        <v>0</v>
      </c>
      <c r="F1486" s="60">
        <f>7+11+14</f>
        <v>32</v>
      </c>
      <c r="G1486" s="60">
        <f>0+1+1</f>
        <v>2</v>
      </c>
      <c r="H1486" s="60">
        <f>33+219+307</f>
        <v>559</v>
      </c>
      <c r="I1486" s="61">
        <f>H1486/(F1486-G1486)</f>
        <v>18.633333333333333</v>
      </c>
      <c r="J1486" s="60">
        <v>116</v>
      </c>
      <c r="K1486" s="62">
        <f>75+103.4+133</f>
        <v>311.39999999999998</v>
      </c>
      <c r="L1486" s="62">
        <f>16+32+27</f>
        <v>75</v>
      </c>
      <c r="M1486" s="62">
        <f>198+318+372</f>
        <v>888</v>
      </c>
      <c r="N1486" s="63">
        <f>M1486/L1486</f>
        <v>11.84</v>
      </c>
      <c r="O1486" s="66" t="s">
        <v>1813</v>
      </c>
    </row>
    <row r="1487" spans="1:15" s="54" customFormat="1" x14ac:dyDescent="0.2">
      <c r="A1487" s="84">
        <v>1262064</v>
      </c>
      <c r="B1487" s="2" t="s">
        <v>1770</v>
      </c>
      <c r="C1487" s="2" t="s">
        <v>1771</v>
      </c>
      <c r="D1487" s="7">
        <f>0+1</f>
        <v>1</v>
      </c>
      <c r="E1487" s="7">
        <f>0+0</f>
        <v>0</v>
      </c>
      <c r="F1487" s="17">
        <f>1+9</f>
        <v>10</v>
      </c>
      <c r="G1487" s="17">
        <f>0+1</f>
        <v>1</v>
      </c>
      <c r="H1487" s="17">
        <f>21+78</f>
        <v>99</v>
      </c>
      <c r="I1487" s="16">
        <f>H1487/(F1487-G1487)</f>
        <v>11</v>
      </c>
      <c r="J1487" s="17" t="s">
        <v>399</v>
      </c>
      <c r="K1487" s="25">
        <f>7+64</f>
        <v>71</v>
      </c>
      <c r="L1487" s="25">
        <f>1+12</f>
        <v>13</v>
      </c>
      <c r="M1487" s="25">
        <f>22+141</f>
        <v>163</v>
      </c>
      <c r="N1487" s="24">
        <f>M1487/L1487</f>
        <v>12.538461538461538</v>
      </c>
      <c r="O1487" s="49" t="s">
        <v>1357</v>
      </c>
    </row>
    <row r="1488" spans="1:15" s="54" customFormat="1" x14ac:dyDescent="0.2">
      <c r="A1488" s="4"/>
      <c r="B1488" s="4" t="s">
        <v>1240</v>
      </c>
      <c r="C1488" s="2" t="s">
        <v>66</v>
      </c>
      <c r="D1488" s="7">
        <v>0</v>
      </c>
      <c r="E1488" s="7"/>
      <c r="F1488" s="17">
        <v>12</v>
      </c>
      <c r="G1488" s="17">
        <v>2</v>
      </c>
      <c r="H1488" s="17">
        <v>50</v>
      </c>
      <c r="I1488" s="16">
        <f>H1488/(F1488-G1488)</f>
        <v>5</v>
      </c>
      <c r="J1488" s="17">
        <v>21</v>
      </c>
      <c r="K1488" s="25">
        <v>38</v>
      </c>
      <c r="L1488" s="25">
        <v>4</v>
      </c>
      <c r="M1488" s="25">
        <v>110</v>
      </c>
      <c r="N1488" s="24">
        <f>M1488/L1488</f>
        <v>27.5</v>
      </c>
      <c r="O1488" s="23"/>
    </row>
    <row r="1489" spans="1:15" s="54" customFormat="1" x14ac:dyDescent="0.2">
      <c r="A1489" s="4">
        <v>1796428</v>
      </c>
      <c r="B1489" s="2" t="s">
        <v>2442</v>
      </c>
      <c r="C1489" s="2" t="s">
        <v>2443</v>
      </c>
      <c r="D1489" s="7">
        <f>0</f>
        <v>0</v>
      </c>
      <c r="E1489" s="7">
        <f>0</f>
        <v>0</v>
      </c>
      <c r="F1489" s="17">
        <f>5</f>
        <v>5</v>
      </c>
      <c r="G1489" s="17">
        <f>1</f>
        <v>1</v>
      </c>
      <c r="H1489" s="17">
        <f>26</f>
        <v>26</v>
      </c>
      <c r="I1489" s="16">
        <f>H1489/(F1489-G1489)</f>
        <v>6.5</v>
      </c>
      <c r="J1489" s="17" t="s">
        <v>447</v>
      </c>
      <c r="K1489" s="25">
        <f>17</f>
        <v>17</v>
      </c>
      <c r="L1489" s="25">
        <f>4</f>
        <v>4</v>
      </c>
      <c r="M1489" s="25">
        <f>58</f>
        <v>58</v>
      </c>
      <c r="N1489" s="24">
        <f>M1489/L1489</f>
        <v>14.5</v>
      </c>
      <c r="O1489" s="49" t="s">
        <v>1351</v>
      </c>
    </row>
    <row r="1490" spans="1:15" s="54" customFormat="1" x14ac:dyDescent="0.2">
      <c r="A1490" s="4"/>
      <c r="B1490" s="2" t="s">
        <v>1241</v>
      </c>
      <c r="C1490" s="2" t="s">
        <v>90</v>
      </c>
      <c r="D1490" s="7">
        <f>5+1+9</f>
        <v>15</v>
      </c>
      <c r="E1490" s="7"/>
      <c r="F1490" s="17">
        <f>12+9+1+12</f>
        <v>34</v>
      </c>
      <c r="G1490" s="17">
        <f>1+3+1+4</f>
        <v>9</v>
      </c>
      <c r="H1490" s="17">
        <f>61+33+2+172</f>
        <v>268</v>
      </c>
      <c r="I1490" s="16">
        <f>H1490/(F1490-G1490)</f>
        <v>10.72</v>
      </c>
      <c r="J1490" s="17" t="s">
        <v>427</v>
      </c>
      <c r="K1490" s="25">
        <f>2+1+0</f>
        <v>3</v>
      </c>
      <c r="L1490" s="25">
        <f>1+0</f>
        <v>1</v>
      </c>
      <c r="M1490" s="25">
        <f>1+7+0</f>
        <v>8</v>
      </c>
      <c r="N1490" s="24">
        <f>M1490/L1490</f>
        <v>8</v>
      </c>
      <c r="O1490" s="23"/>
    </row>
    <row r="1491" spans="1:15" s="54" customFormat="1" x14ac:dyDescent="0.2">
      <c r="A1491" s="4">
        <v>2075625</v>
      </c>
      <c r="B1491" s="2" t="s">
        <v>2444</v>
      </c>
      <c r="C1491" s="2" t="s">
        <v>2445</v>
      </c>
      <c r="D1491" s="7">
        <f>1</f>
        <v>1</v>
      </c>
      <c r="E1491" s="7">
        <f>0</f>
        <v>0</v>
      </c>
      <c r="F1491" s="17"/>
      <c r="G1491" s="17"/>
      <c r="H1491" s="17"/>
      <c r="I1491" s="16" t="e">
        <f>H1491/(F1491-G1491)</f>
        <v>#DIV/0!</v>
      </c>
      <c r="J1491" s="17"/>
      <c r="K1491" s="25">
        <f>4</f>
        <v>4</v>
      </c>
      <c r="L1491" s="25">
        <f>0</f>
        <v>0</v>
      </c>
      <c r="M1491" s="25">
        <f>18</f>
        <v>18</v>
      </c>
      <c r="N1491" s="24" t="e">
        <f>M1491/L1491</f>
        <v>#DIV/0!</v>
      </c>
      <c r="O1491" s="49" t="s">
        <v>1384</v>
      </c>
    </row>
    <row r="1492" spans="1:15" s="54" customFormat="1" x14ac:dyDescent="0.2">
      <c r="A1492" s="84">
        <v>1764890</v>
      </c>
      <c r="B1492" s="2" t="s">
        <v>2001</v>
      </c>
      <c r="C1492" s="2" t="s">
        <v>2002</v>
      </c>
      <c r="D1492" s="7">
        <f>0</f>
        <v>0</v>
      </c>
      <c r="E1492" s="7">
        <f>0</f>
        <v>0</v>
      </c>
      <c r="F1492" s="17"/>
      <c r="G1492" s="17"/>
      <c r="H1492" s="17"/>
      <c r="I1492" s="16" t="e">
        <f>H1492/(F1492-G1492)</f>
        <v>#DIV/0!</v>
      </c>
      <c r="J1492" s="17"/>
      <c r="K1492" s="25"/>
      <c r="L1492" s="25"/>
      <c r="M1492" s="25"/>
      <c r="N1492" s="24" t="e">
        <f>M1492/L1492</f>
        <v>#DIV/0!</v>
      </c>
      <c r="O1492" s="23"/>
    </row>
    <row r="1493" spans="1:15" s="54" customFormat="1" x14ac:dyDescent="0.2">
      <c r="A1493" s="4"/>
      <c r="B1493" s="2" t="s">
        <v>1242</v>
      </c>
      <c r="C1493" s="2" t="s">
        <v>155</v>
      </c>
      <c r="D1493" s="7">
        <f>73+7+1+5</f>
        <v>86</v>
      </c>
      <c r="E1493" s="7"/>
      <c r="F1493" s="17">
        <f>260+11+11+11+1+10</f>
        <v>304</v>
      </c>
      <c r="G1493" s="17">
        <f>30+3+1+2</f>
        <v>36</v>
      </c>
      <c r="H1493" s="17">
        <f>3942+91+133+257+38+206</f>
        <v>4667</v>
      </c>
      <c r="I1493" s="16">
        <f>H1493/(F1493-G1493)</f>
        <v>17.414179104477611</v>
      </c>
      <c r="J1493" s="17">
        <v>109</v>
      </c>
      <c r="K1493" s="25">
        <f>1373+57+76+83+7+9+35</f>
        <v>1640</v>
      </c>
      <c r="L1493" s="25">
        <f>280+17+14+16+4+1+1</f>
        <v>333</v>
      </c>
      <c r="M1493" s="25">
        <f>4525+160+243+232+21+29+138</f>
        <v>5348</v>
      </c>
      <c r="N1493" s="24">
        <f>M1493/L1493</f>
        <v>16.06006006006006</v>
      </c>
      <c r="O1493" s="23"/>
    </row>
    <row r="1494" spans="1:15" s="54" customFormat="1" x14ac:dyDescent="0.2">
      <c r="A1494" s="84">
        <v>1449433</v>
      </c>
      <c r="B1494" s="2" t="s">
        <v>2003</v>
      </c>
      <c r="C1494" s="2" t="s">
        <v>2004</v>
      </c>
      <c r="D1494" s="7">
        <f>0</f>
        <v>0</v>
      </c>
      <c r="E1494" s="7">
        <f>0</f>
        <v>0</v>
      </c>
      <c r="F1494" s="17">
        <f>2</f>
        <v>2</v>
      </c>
      <c r="G1494" s="17">
        <f>0</f>
        <v>0</v>
      </c>
      <c r="H1494" s="17">
        <f>2</f>
        <v>2</v>
      </c>
      <c r="I1494" s="16">
        <f>H1494/(F1494-G1494)</f>
        <v>1</v>
      </c>
      <c r="J1494" s="17">
        <v>1</v>
      </c>
      <c r="K1494" s="25">
        <f>3</f>
        <v>3</v>
      </c>
      <c r="L1494" s="25">
        <f>1</f>
        <v>1</v>
      </c>
      <c r="M1494" s="25">
        <f>10</f>
        <v>10</v>
      </c>
      <c r="N1494" s="24">
        <f>M1494/L1494</f>
        <v>10</v>
      </c>
      <c r="O1494" s="49" t="s">
        <v>1386</v>
      </c>
    </row>
    <row r="1495" spans="1:15" s="54" customFormat="1" x14ac:dyDescent="0.2">
      <c r="A1495" s="84">
        <v>1443692</v>
      </c>
      <c r="B1495" s="86" t="s">
        <v>1608</v>
      </c>
      <c r="C1495" s="2" t="s">
        <v>1609</v>
      </c>
      <c r="D1495" s="7">
        <f>0</f>
        <v>0</v>
      </c>
      <c r="E1495" s="7">
        <f>0</f>
        <v>0</v>
      </c>
      <c r="F1495" s="17">
        <f>5</f>
        <v>5</v>
      </c>
      <c r="G1495" s="17">
        <f>1</f>
        <v>1</v>
      </c>
      <c r="H1495" s="17">
        <f>101</f>
        <v>101</v>
      </c>
      <c r="I1495" s="16">
        <f>H1495/(F1495-G1495)</f>
        <v>25.25</v>
      </c>
      <c r="J1495" s="17" t="s">
        <v>354</v>
      </c>
      <c r="K1495" s="25"/>
      <c r="L1495" s="25"/>
      <c r="M1495" s="25"/>
      <c r="N1495" s="24" t="e">
        <f>M1495/L1495</f>
        <v>#DIV/0!</v>
      </c>
      <c r="O1495" s="23"/>
    </row>
    <row r="1496" spans="1:15" s="54" customFormat="1" x14ac:dyDescent="0.2">
      <c r="A1496" s="64">
        <v>1451601</v>
      </c>
      <c r="B1496" s="58" t="s">
        <v>2005</v>
      </c>
      <c r="C1496" s="58" t="s">
        <v>2006</v>
      </c>
      <c r="D1496" s="59">
        <f>0+0+0+0</f>
        <v>0</v>
      </c>
      <c r="E1496" s="59">
        <f>0+0</f>
        <v>0</v>
      </c>
      <c r="F1496" s="60">
        <f>8+5+6+2+7</f>
        <v>28</v>
      </c>
      <c r="G1496" s="60">
        <f>2+1+2+1+1</f>
        <v>7</v>
      </c>
      <c r="H1496" s="60">
        <f>152+90+65+6+113</f>
        <v>426</v>
      </c>
      <c r="I1496" s="61">
        <f>H1496/(F1496-G1496)</f>
        <v>20.285714285714285</v>
      </c>
      <c r="J1496" s="60">
        <v>43</v>
      </c>
      <c r="K1496" s="62">
        <f>32+20+44.1+0+36</f>
        <v>132.1</v>
      </c>
      <c r="L1496" s="62">
        <f>3+8+8+0+7</f>
        <v>26</v>
      </c>
      <c r="M1496" s="62">
        <f>159+75+154+0+120</f>
        <v>508</v>
      </c>
      <c r="N1496" s="63">
        <f>M1496/L1496</f>
        <v>19.53846153846154</v>
      </c>
      <c r="O1496" s="66" t="s">
        <v>1810</v>
      </c>
    </row>
    <row r="1497" spans="1:15" s="54" customFormat="1" x14ac:dyDescent="0.2">
      <c r="A1497" s="4"/>
      <c r="B1497" s="2" t="s">
        <v>1243</v>
      </c>
      <c r="C1497" s="2" t="s">
        <v>122</v>
      </c>
      <c r="D1497" s="7">
        <f>1+6+3+5+1+0</f>
        <v>16</v>
      </c>
      <c r="E1497" s="7"/>
      <c r="F1497" s="17">
        <f>8+9+10+14+10+3</f>
        <v>54</v>
      </c>
      <c r="G1497" s="17">
        <f>1+0+1+2+0</f>
        <v>4</v>
      </c>
      <c r="H1497" s="17">
        <f>253+103+201+227+190+100</f>
        <v>1074</v>
      </c>
      <c r="I1497" s="16">
        <f>H1497/(F1497-G1497)</f>
        <v>21.48</v>
      </c>
      <c r="J1497" s="17">
        <v>100</v>
      </c>
      <c r="K1497" s="25">
        <f>20.5+20+143+109+74+10</f>
        <v>376.5</v>
      </c>
      <c r="L1497" s="25">
        <f>2+8+33+32+16+1</f>
        <v>92</v>
      </c>
      <c r="M1497" s="25">
        <f>76+62+378+355+196+28</f>
        <v>1095</v>
      </c>
      <c r="N1497" s="24">
        <f>M1497/L1497</f>
        <v>11.902173913043478</v>
      </c>
      <c r="O1497" s="23"/>
    </row>
    <row r="1498" spans="1:15" s="54" customFormat="1" x14ac:dyDescent="0.2">
      <c r="A1498" s="4"/>
      <c r="B1498" s="2" t="s">
        <v>1244</v>
      </c>
      <c r="C1498" s="2" t="s">
        <v>141</v>
      </c>
      <c r="D1498" s="7">
        <f>33+3</f>
        <v>36</v>
      </c>
      <c r="E1498" s="7"/>
      <c r="F1498" s="17">
        <f>102+14+2</f>
        <v>118</v>
      </c>
      <c r="G1498" s="17">
        <v>1</v>
      </c>
      <c r="H1498" s="17">
        <f>1748+164+40</f>
        <v>1952</v>
      </c>
      <c r="I1498" s="16">
        <f>H1498/(F1498-G1498)</f>
        <v>16.683760683760685</v>
      </c>
      <c r="J1498" s="17">
        <v>88</v>
      </c>
      <c r="K1498" s="25">
        <f>307+4</f>
        <v>311</v>
      </c>
      <c r="L1498" s="25">
        <v>48</v>
      </c>
      <c r="M1498" s="25">
        <f>1084+14</f>
        <v>1098</v>
      </c>
      <c r="N1498" s="24">
        <f>M1498/L1498</f>
        <v>22.875</v>
      </c>
      <c r="O1498" s="23"/>
    </row>
    <row r="1499" spans="1:15" s="54" customFormat="1" x14ac:dyDescent="0.2">
      <c r="A1499" s="64"/>
      <c r="B1499" s="58" t="s">
        <v>2650</v>
      </c>
      <c r="C1499" s="58" t="s">
        <v>1929</v>
      </c>
      <c r="D1499" s="59">
        <v>0</v>
      </c>
      <c r="E1499" s="59">
        <v>0</v>
      </c>
      <c r="F1499" s="60">
        <v>10</v>
      </c>
      <c r="G1499" s="60">
        <v>0</v>
      </c>
      <c r="H1499" s="60">
        <v>137</v>
      </c>
      <c r="I1499" s="61">
        <f>H1499/(F1499-G1499)</f>
        <v>13.7</v>
      </c>
      <c r="J1499" s="60">
        <v>45</v>
      </c>
      <c r="K1499" s="62">
        <v>49.3</v>
      </c>
      <c r="L1499" s="62">
        <v>14</v>
      </c>
      <c r="M1499" s="62">
        <v>241</v>
      </c>
      <c r="N1499" s="63">
        <f>M1499/L1499</f>
        <v>17.214285714285715</v>
      </c>
      <c r="O1499" s="66" t="s">
        <v>2613</v>
      </c>
    </row>
    <row r="1500" spans="1:15" s="54" customFormat="1" x14ac:dyDescent="0.2">
      <c r="A1500" s="4"/>
      <c r="B1500" s="2" t="s">
        <v>1245</v>
      </c>
      <c r="C1500" s="2" t="s">
        <v>91</v>
      </c>
      <c r="D1500" s="7"/>
      <c r="E1500" s="7"/>
      <c r="F1500" s="17">
        <v>24</v>
      </c>
      <c r="G1500" s="17">
        <v>3</v>
      </c>
      <c r="H1500" s="17">
        <v>43</v>
      </c>
      <c r="I1500" s="16">
        <f>H1500/(F1500-G1500)</f>
        <v>2.0476190476190474</v>
      </c>
      <c r="J1500" s="17">
        <v>14</v>
      </c>
      <c r="K1500" s="25">
        <v>4</v>
      </c>
      <c r="L1500" s="25">
        <v>0</v>
      </c>
      <c r="M1500" s="25">
        <v>27</v>
      </c>
      <c r="N1500" s="24" t="e">
        <f>M1500/L1500</f>
        <v>#DIV/0!</v>
      </c>
      <c r="O1500" s="23"/>
    </row>
    <row r="1501" spans="1:15" s="54" customFormat="1" x14ac:dyDescent="0.2">
      <c r="A1501" s="4"/>
      <c r="B1501" s="2" t="s">
        <v>1246</v>
      </c>
      <c r="C1501" s="2" t="s">
        <v>63</v>
      </c>
      <c r="D1501" s="7">
        <f>1+6</f>
        <v>7</v>
      </c>
      <c r="E1501" s="7"/>
      <c r="F1501" s="15">
        <f>2+1+2+2+1+1+1+1+1+1+1+1+1+12+2</f>
        <v>30</v>
      </c>
      <c r="G1501" s="15">
        <f>1+1+1+1+1+5</f>
        <v>10</v>
      </c>
      <c r="H1501" s="15">
        <f>38+9+60+3+18+28+53+19+56+4+0+10+4+9+21+328+22</f>
        <v>682</v>
      </c>
      <c r="I1501" s="16">
        <f>H1501/(F1501-G1501)</f>
        <v>34.1</v>
      </c>
      <c r="J1501" s="17" t="s">
        <v>451</v>
      </c>
      <c r="K1501" s="23">
        <f>4+3+3+4+2+2+4+3+4+5+41+13</f>
        <v>88</v>
      </c>
      <c r="L1501" s="23">
        <f>0+0+1+1+0+0+0+0+0+0+13+2</f>
        <v>17</v>
      </c>
      <c r="M1501" s="23">
        <f>15+19+12+12+4+9+10+14+14+5+110+30</f>
        <v>254</v>
      </c>
      <c r="N1501" s="24">
        <f>M1501/L1501</f>
        <v>14.941176470588236</v>
      </c>
      <c r="O1501" s="23"/>
    </row>
    <row r="1502" spans="1:15" s="54" customFormat="1" x14ac:dyDescent="0.2">
      <c r="A1502" s="4"/>
      <c r="B1502" s="2" t="s">
        <v>1247</v>
      </c>
      <c r="C1502" s="2" t="s">
        <v>75</v>
      </c>
      <c r="D1502" s="7">
        <f>4+1</f>
        <v>5</v>
      </c>
      <c r="E1502" s="7"/>
      <c r="F1502" s="15">
        <f>14+11</f>
        <v>25</v>
      </c>
      <c r="G1502" s="15">
        <f>4+2</f>
        <v>6</v>
      </c>
      <c r="H1502" s="15">
        <f>297+109</f>
        <v>406</v>
      </c>
      <c r="I1502" s="16">
        <f>H1502/(F1502-G1502)</f>
        <v>21.368421052631579</v>
      </c>
      <c r="J1502" s="17">
        <v>53</v>
      </c>
      <c r="K1502" s="23">
        <f>48+53</f>
        <v>101</v>
      </c>
      <c r="L1502" s="23">
        <f>17+17</f>
        <v>34</v>
      </c>
      <c r="M1502" s="23">
        <f>97+129</f>
        <v>226</v>
      </c>
      <c r="N1502" s="24">
        <f>M1502/L1502</f>
        <v>6.6470588235294121</v>
      </c>
      <c r="O1502" s="23"/>
    </row>
    <row r="1503" spans="1:15" s="54" customFormat="1" x14ac:dyDescent="0.2">
      <c r="A1503" s="4"/>
      <c r="B1503" s="2" t="s">
        <v>1248</v>
      </c>
      <c r="C1503" s="2" t="s">
        <v>174</v>
      </c>
      <c r="D1503" s="7">
        <v>9</v>
      </c>
      <c r="E1503" s="7"/>
      <c r="F1503" s="17">
        <v>31</v>
      </c>
      <c r="G1503" s="17">
        <v>3</v>
      </c>
      <c r="H1503" s="17">
        <v>857</v>
      </c>
      <c r="I1503" s="16">
        <f>H1503/(F1503-G1503)</f>
        <v>30.607142857142858</v>
      </c>
      <c r="J1503" s="17" t="s">
        <v>452</v>
      </c>
      <c r="K1503" s="25">
        <v>169</v>
      </c>
      <c r="L1503" s="25">
        <v>36</v>
      </c>
      <c r="M1503" s="25">
        <v>702</v>
      </c>
      <c r="N1503" s="24">
        <f>M1503/L1503</f>
        <v>19.5</v>
      </c>
      <c r="O1503" s="23"/>
    </row>
    <row r="1504" spans="1:15" s="54" customFormat="1" x14ac:dyDescent="0.2">
      <c r="A1504" s="4">
        <v>2045088</v>
      </c>
      <c r="B1504" s="2" t="s">
        <v>1772</v>
      </c>
      <c r="C1504" s="2" t="s">
        <v>88</v>
      </c>
      <c r="D1504" s="7">
        <f>1</f>
        <v>1</v>
      </c>
      <c r="E1504" s="7">
        <f>0</f>
        <v>0</v>
      </c>
      <c r="F1504" s="17">
        <f>10</f>
        <v>10</v>
      </c>
      <c r="G1504" s="17">
        <f>2</f>
        <v>2</v>
      </c>
      <c r="H1504" s="17">
        <f>7</f>
        <v>7</v>
      </c>
      <c r="I1504" s="16">
        <f>H1504/(F1504-G1504)</f>
        <v>0.875</v>
      </c>
      <c r="J1504" s="17" t="s">
        <v>323</v>
      </c>
      <c r="K1504" s="25">
        <f>14.2</f>
        <v>14.2</v>
      </c>
      <c r="L1504" s="25">
        <f>3</f>
        <v>3</v>
      </c>
      <c r="M1504" s="25">
        <f>62</f>
        <v>62</v>
      </c>
      <c r="N1504" s="24">
        <f>M1504/L1504</f>
        <v>20.666666666666668</v>
      </c>
      <c r="O1504" s="49" t="s">
        <v>1370</v>
      </c>
    </row>
    <row r="1505" spans="1:15" s="54" customFormat="1" x14ac:dyDescent="0.2">
      <c r="A1505" s="84">
        <v>1472972</v>
      </c>
      <c r="B1505" s="2" t="s">
        <v>1772</v>
      </c>
      <c r="C1505" s="2" t="s">
        <v>1773</v>
      </c>
      <c r="D1505" s="7">
        <f>0</f>
        <v>0</v>
      </c>
      <c r="E1505" s="7">
        <f>0</f>
        <v>0</v>
      </c>
      <c r="F1505" s="17">
        <f>2</f>
        <v>2</v>
      </c>
      <c r="G1505" s="17">
        <f>1</f>
        <v>1</v>
      </c>
      <c r="H1505" s="17">
        <f>0</f>
        <v>0</v>
      </c>
      <c r="I1505" s="16">
        <f>H1505/(F1505-G1505)</f>
        <v>0</v>
      </c>
      <c r="J1505" s="17" t="s">
        <v>372</v>
      </c>
      <c r="K1505" s="25">
        <f>2</f>
        <v>2</v>
      </c>
      <c r="L1505" s="25">
        <f>1</f>
        <v>1</v>
      </c>
      <c r="M1505" s="25">
        <f>7</f>
        <v>7</v>
      </c>
      <c r="N1505" s="24">
        <f>M1505/L1505</f>
        <v>7</v>
      </c>
      <c r="O1505" s="49" t="s">
        <v>1812</v>
      </c>
    </row>
    <row r="1506" spans="1:15" s="54" customFormat="1" x14ac:dyDescent="0.2">
      <c r="A1506" s="4"/>
      <c r="B1506" s="4" t="s">
        <v>1249</v>
      </c>
      <c r="C1506" s="2" t="s">
        <v>174</v>
      </c>
      <c r="D1506" s="7">
        <v>8</v>
      </c>
      <c r="E1506" s="7"/>
      <c r="F1506" s="17">
        <v>6</v>
      </c>
      <c r="G1506" s="17">
        <v>0</v>
      </c>
      <c r="H1506" s="17">
        <v>186</v>
      </c>
      <c r="I1506" s="16">
        <f>H1506/(F1506-G1506)</f>
        <v>31</v>
      </c>
      <c r="J1506" s="17">
        <v>82</v>
      </c>
      <c r="K1506" s="25">
        <v>8</v>
      </c>
      <c r="L1506" s="25">
        <v>4</v>
      </c>
      <c r="M1506" s="25">
        <v>33</v>
      </c>
      <c r="N1506" s="24">
        <f>M1506/L1506</f>
        <v>8.25</v>
      </c>
      <c r="O1506" s="23"/>
    </row>
    <row r="1507" spans="1:15" s="54" customFormat="1" x14ac:dyDescent="0.2">
      <c r="A1507" s="84">
        <v>665876</v>
      </c>
      <c r="B1507" s="86" t="s">
        <v>1610</v>
      </c>
      <c r="C1507" s="2" t="s">
        <v>79</v>
      </c>
      <c r="D1507" s="7">
        <f>0+0</f>
        <v>0</v>
      </c>
      <c r="E1507" s="7">
        <f>0+0</f>
        <v>0</v>
      </c>
      <c r="F1507" s="17">
        <f>2+1</f>
        <v>3</v>
      </c>
      <c r="G1507" s="17">
        <f>1+1</f>
        <v>2</v>
      </c>
      <c r="H1507" s="17">
        <f>13+0</f>
        <v>13</v>
      </c>
      <c r="I1507" s="16">
        <f>H1507/(F1507-G1507)</f>
        <v>13</v>
      </c>
      <c r="J1507" s="17">
        <v>13</v>
      </c>
      <c r="K1507" s="25">
        <f>3+3</f>
        <v>6</v>
      </c>
      <c r="L1507" s="25">
        <f>0+1</f>
        <v>1</v>
      </c>
      <c r="M1507" s="25">
        <f>9+11</f>
        <v>20</v>
      </c>
      <c r="N1507" s="24">
        <f>M1507/L1507</f>
        <v>20</v>
      </c>
      <c r="O1507" s="49" t="s">
        <v>1640</v>
      </c>
    </row>
    <row r="1508" spans="1:15" s="54" customFormat="1" x14ac:dyDescent="0.2">
      <c r="A1508" s="4"/>
      <c r="B1508" s="2" t="s">
        <v>1250</v>
      </c>
      <c r="C1508" s="2" t="s">
        <v>91</v>
      </c>
      <c r="D1508" s="7">
        <v>4</v>
      </c>
      <c r="E1508" s="7"/>
      <c r="F1508" s="17">
        <v>9</v>
      </c>
      <c r="G1508" s="17"/>
      <c r="H1508" s="17">
        <v>69</v>
      </c>
      <c r="I1508" s="16">
        <f>H1508/(F1508-G1508)</f>
        <v>7.666666666666667</v>
      </c>
      <c r="J1508" s="17">
        <v>24</v>
      </c>
      <c r="K1508" s="25">
        <v>48</v>
      </c>
      <c r="L1508" s="25">
        <v>17</v>
      </c>
      <c r="M1508" s="25">
        <v>121</v>
      </c>
      <c r="N1508" s="24">
        <f>M1508/L1508</f>
        <v>7.117647058823529</v>
      </c>
      <c r="O1508" s="23"/>
    </row>
    <row r="1509" spans="1:15" s="54" customFormat="1" x14ac:dyDescent="0.2">
      <c r="A1509" s="84">
        <v>1615354</v>
      </c>
      <c r="B1509" s="2" t="s">
        <v>1774</v>
      </c>
      <c r="C1509" s="2" t="s">
        <v>1775</v>
      </c>
      <c r="D1509" s="7">
        <f>0+0</f>
        <v>0</v>
      </c>
      <c r="E1509" s="7">
        <f>0</f>
        <v>0</v>
      </c>
      <c r="F1509" s="17">
        <f>1+5</f>
        <v>6</v>
      </c>
      <c r="G1509" s="17">
        <f>0+1</f>
        <v>1</v>
      </c>
      <c r="H1509" s="17">
        <f>6+12</f>
        <v>18</v>
      </c>
      <c r="I1509" s="16">
        <f>H1509/(F1509-G1509)</f>
        <v>3.6</v>
      </c>
      <c r="J1509" s="17" t="s">
        <v>414</v>
      </c>
      <c r="K1509" s="25">
        <f>1</f>
        <v>1</v>
      </c>
      <c r="L1509" s="25">
        <f>0</f>
        <v>0</v>
      </c>
      <c r="M1509" s="25">
        <f>6</f>
        <v>6</v>
      </c>
      <c r="N1509" s="24" t="e">
        <f>M1509/L1509</f>
        <v>#DIV/0!</v>
      </c>
      <c r="O1509" s="49" t="s">
        <v>1499</v>
      </c>
    </row>
    <row r="1510" spans="1:15" s="54" customFormat="1" x14ac:dyDescent="0.2">
      <c r="A1510" s="57">
        <v>678465</v>
      </c>
      <c r="B1510" s="58" t="s">
        <v>1251</v>
      </c>
      <c r="C1510" s="58" t="s">
        <v>344</v>
      </c>
      <c r="D1510" s="68">
        <f>144+9+6+4+2+5+8+1+3+3+4+1+6</f>
        <v>196</v>
      </c>
      <c r="E1510" s="59">
        <f>7+0+0+0+0+0+0+1+0</f>
        <v>8</v>
      </c>
      <c r="F1510" s="60">
        <f>76+9+2+11+21+10+10+4+11+7+1+12+14+10+10+8+14+14+14+13+15+13+15+12+12+13+13</f>
        <v>364</v>
      </c>
      <c r="G1510" s="60">
        <f>19+1+1+3+2+2+1+1+0+2+2+1+0+3+2+0+1+2+0+0+0+0+1+2</f>
        <v>46</v>
      </c>
      <c r="H1510" s="60">
        <f>1033+153+32+305+547+85+190+26+190+80+33+203+211+172+171+133+344+429+340+269+388+268+255+161+194+332+178</f>
        <v>6722</v>
      </c>
      <c r="I1510" s="61">
        <f>H1510/(F1510-G1510)</f>
        <v>21.138364779874212</v>
      </c>
      <c r="J1510" s="60" t="s">
        <v>338</v>
      </c>
      <c r="K1510" s="62">
        <f>94+2+0+1+7+4+1.1+3.1+4+0</f>
        <v>116.19999999999999</v>
      </c>
      <c r="L1510" s="62">
        <f>19+1+0+0+2+1+0+1+1+0</f>
        <v>25</v>
      </c>
      <c r="M1510" s="62">
        <f>356+1+0+9+48+16+11+23+20+0</f>
        <v>484</v>
      </c>
      <c r="N1510" s="63">
        <f>M1510/L1510</f>
        <v>19.36</v>
      </c>
      <c r="O1510" s="66" t="s">
        <v>1350</v>
      </c>
    </row>
    <row r="1511" spans="1:15" s="54" customFormat="1" x14ac:dyDescent="0.2">
      <c r="A1511" s="4"/>
      <c r="B1511" s="2" t="s">
        <v>1252</v>
      </c>
      <c r="C1511" s="2" t="s">
        <v>9</v>
      </c>
      <c r="D1511" s="7">
        <f>1+1+4</f>
        <v>6</v>
      </c>
      <c r="E1511" s="7"/>
      <c r="F1511" s="17">
        <f>6+11+8+1</f>
        <v>26</v>
      </c>
      <c r="G1511" s="17">
        <f>1+3+3+1</f>
        <v>8</v>
      </c>
      <c r="H1511" s="17">
        <f>9+18+14</f>
        <v>41</v>
      </c>
      <c r="I1511" s="16">
        <f>H1511/(F1511-G1511)</f>
        <v>2.2777777777777777</v>
      </c>
      <c r="J1511" s="17">
        <v>6</v>
      </c>
      <c r="K1511" s="25">
        <f>9+27+23</f>
        <v>59</v>
      </c>
      <c r="L1511" s="25">
        <f>2+8+7</f>
        <v>17</v>
      </c>
      <c r="M1511" s="25">
        <f>40+95+124</f>
        <v>259</v>
      </c>
      <c r="N1511" s="24">
        <f>M1511/L1511</f>
        <v>15.235294117647058</v>
      </c>
      <c r="O1511" s="23"/>
    </row>
    <row r="1512" spans="1:15" s="54" customFormat="1" x14ac:dyDescent="0.2">
      <c r="A1512" s="4">
        <v>682277</v>
      </c>
      <c r="B1512" s="2" t="s">
        <v>1253</v>
      </c>
      <c r="C1512" s="2" t="s">
        <v>345</v>
      </c>
      <c r="D1512" s="7">
        <f>4+8+4+9+3+9+1+1+3+3+4+2+5+1+2</f>
        <v>59</v>
      </c>
      <c r="E1512" s="7">
        <f>0</f>
        <v>0</v>
      </c>
      <c r="F1512" s="17">
        <f>8+12+13+1+18+2+2+12+8+1+14+11+12+18+10+8+7</f>
        <v>157</v>
      </c>
      <c r="G1512" s="17">
        <f>1+1+4+1+3+2+1+0+0+0</f>
        <v>13</v>
      </c>
      <c r="H1512" s="17">
        <f>68+142+444+76+296+24+11+60+79+12+153+113+258+361+216+133+276</f>
        <v>2722</v>
      </c>
      <c r="I1512" s="16">
        <f>H1512/(F1512-G1512)</f>
        <v>18.902777777777779</v>
      </c>
      <c r="J1512" s="17">
        <v>85</v>
      </c>
      <c r="K1512" s="25">
        <f>40+64+87+12+134+22+6+95+81+9+137+143+49+48+4+33</f>
        <v>964</v>
      </c>
      <c r="L1512" s="25">
        <f>5+13+19+1+23+4+14+10+3+26+19+7+5+0+3</f>
        <v>152</v>
      </c>
      <c r="M1512" s="25">
        <f>133+209+328+16+313+26+26+364+299+32+468+447+143+172+16+92</f>
        <v>3084</v>
      </c>
      <c r="N1512" s="24">
        <f>M1512/L1512</f>
        <v>20.289473684210527</v>
      </c>
      <c r="O1512" s="49" t="s">
        <v>1472</v>
      </c>
    </row>
    <row r="1513" spans="1:15" s="54" customFormat="1" x14ac:dyDescent="0.2">
      <c r="A1513" s="4"/>
      <c r="B1513" s="2" t="s">
        <v>1254</v>
      </c>
      <c r="C1513" s="2" t="s">
        <v>20</v>
      </c>
      <c r="D1513" s="7">
        <v>20</v>
      </c>
      <c r="E1513" s="7"/>
      <c r="F1513" s="17">
        <v>79</v>
      </c>
      <c r="G1513" s="17">
        <v>10</v>
      </c>
      <c r="H1513" s="17">
        <v>999</v>
      </c>
      <c r="I1513" s="16">
        <f>H1513/(F1513-G1513)</f>
        <v>14.478260869565217</v>
      </c>
      <c r="J1513" s="17" t="s">
        <v>453</v>
      </c>
      <c r="K1513" s="25">
        <v>314</v>
      </c>
      <c r="L1513" s="25">
        <v>76</v>
      </c>
      <c r="M1513" s="25">
        <v>808</v>
      </c>
      <c r="N1513" s="24">
        <f>M1513/L1513</f>
        <v>10.631578947368421</v>
      </c>
      <c r="O1513" s="23"/>
    </row>
    <row r="1514" spans="1:15" s="54" customFormat="1" x14ac:dyDescent="0.2">
      <c r="A1514" s="4">
        <v>716041</v>
      </c>
      <c r="B1514" s="52" t="s">
        <v>1407</v>
      </c>
      <c r="C1514" s="2" t="s">
        <v>101</v>
      </c>
      <c r="D1514" s="7">
        <f>6+0</f>
        <v>6</v>
      </c>
      <c r="E1514" s="7">
        <f>0+0</f>
        <v>0</v>
      </c>
      <c r="F1514" s="17">
        <f>10</f>
        <v>10</v>
      </c>
      <c r="G1514" s="17">
        <f>4</f>
        <v>4</v>
      </c>
      <c r="H1514" s="17">
        <f>180</f>
        <v>180</v>
      </c>
      <c r="I1514" s="16">
        <f>H1514/(F1514-G1514)</f>
        <v>30</v>
      </c>
      <c r="J1514" s="17" t="s">
        <v>436</v>
      </c>
      <c r="K1514" s="25">
        <f>222.3</f>
        <v>222.3</v>
      </c>
      <c r="L1514" s="25">
        <f>56</f>
        <v>56</v>
      </c>
      <c r="M1514" s="25">
        <f>415</f>
        <v>415</v>
      </c>
      <c r="N1514" s="24">
        <f>M1514/L1514</f>
        <v>7.4107142857142856</v>
      </c>
      <c r="O1514" s="49" t="s">
        <v>1457</v>
      </c>
    </row>
    <row r="1515" spans="1:15" s="54" customFormat="1" x14ac:dyDescent="0.2">
      <c r="A1515" s="4"/>
      <c r="B1515" s="2" t="s">
        <v>1255</v>
      </c>
      <c r="C1515" s="2" t="s">
        <v>16</v>
      </c>
      <c r="D1515" s="8">
        <v>74</v>
      </c>
      <c r="E1515" s="7">
        <v>9</v>
      </c>
      <c r="F1515" s="17">
        <v>133</v>
      </c>
      <c r="G1515" s="17">
        <v>17</v>
      </c>
      <c r="H1515" s="17">
        <v>1964</v>
      </c>
      <c r="I1515" s="16">
        <f>H1515/(F1515-G1515)</f>
        <v>16.931034482758619</v>
      </c>
      <c r="J1515" s="17">
        <v>118</v>
      </c>
      <c r="K1515" s="25">
        <v>47</v>
      </c>
      <c r="L1515" s="25">
        <v>13</v>
      </c>
      <c r="M1515" s="25">
        <v>105</v>
      </c>
      <c r="N1515" s="24">
        <f>M1515/L1515</f>
        <v>8.0769230769230766</v>
      </c>
      <c r="O1515" s="23"/>
    </row>
    <row r="1516" spans="1:15" s="54" customFormat="1" x14ac:dyDescent="0.2">
      <c r="A1516" s="4"/>
      <c r="B1516" s="2" t="s">
        <v>1256</v>
      </c>
      <c r="C1516" s="2" t="s">
        <v>15</v>
      </c>
      <c r="D1516" s="7">
        <f>2+2</f>
        <v>4</v>
      </c>
      <c r="E1516" s="7"/>
      <c r="F1516" s="17">
        <f>11+9+2</f>
        <v>22</v>
      </c>
      <c r="G1516" s="17">
        <f>1+2+1</f>
        <v>4</v>
      </c>
      <c r="H1516" s="17">
        <f>11+39+5</f>
        <v>55</v>
      </c>
      <c r="I1516" s="16">
        <f>H1516/(F1516-G1516)</f>
        <v>3.0555555555555554</v>
      </c>
      <c r="J1516" s="17">
        <v>8</v>
      </c>
      <c r="K1516" s="25">
        <f>34+30+4</f>
        <v>68</v>
      </c>
      <c r="L1516" s="25">
        <f>5+9+3</f>
        <v>17</v>
      </c>
      <c r="M1516" s="25">
        <f>69+43+11</f>
        <v>123</v>
      </c>
      <c r="N1516" s="24">
        <f>M1516/L1516</f>
        <v>7.2352941176470589</v>
      </c>
      <c r="O1516" s="23"/>
    </row>
    <row r="1517" spans="1:15" s="54" customFormat="1" x14ac:dyDescent="0.2">
      <c r="A1517" s="4"/>
      <c r="B1517" s="2" t="s">
        <v>1257</v>
      </c>
      <c r="C1517" s="2" t="s">
        <v>119</v>
      </c>
      <c r="D1517" s="7">
        <v>71</v>
      </c>
      <c r="E1517" s="7"/>
      <c r="F1517" s="17">
        <v>128</v>
      </c>
      <c r="G1517" s="17">
        <v>34</v>
      </c>
      <c r="H1517" s="17">
        <v>3312</v>
      </c>
      <c r="I1517" s="16">
        <f>H1517/(F1517-G1517)</f>
        <v>35.234042553191486</v>
      </c>
      <c r="J1517" s="17">
        <v>137</v>
      </c>
      <c r="K1517" s="25">
        <v>630</v>
      </c>
      <c r="L1517" s="25">
        <v>140</v>
      </c>
      <c r="M1517" s="25">
        <v>1528</v>
      </c>
      <c r="N1517" s="24">
        <f>M1517/L1517</f>
        <v>10.914285714285715</v>
      </c>
      <c r="O1517" s="23"/>
    </row>
    <row r="1518" spans="1:15" s="54" customFormat="1" x14ac:dyDescent="0.2">
      <c r="A1518" s="4"/>
      <c r="B1518" s="2" t="s">
        <v>1258</v>
      </c>
      <c r="C1518" s="2" t="s">
        <v>190</v>
      </c>
      <c r="D1518" s="7">
        <v>28</v>
      </c>
      <c r="E1518" s="7"/>
      <c r="F1518" s="17">
        <v>64</v>
      </c>
      <c r="G1518" s="17">
        <v>6</v>
      </c>
      <c r="H1518" s="17">
        <v>880</v>
      </c>
      <c r="I1518" s="16">
        <f>H1518/(F1518-G1518)</f>
        <v>15.172413793103448</v>
      </c>
      <c r="J1518" s="17">
        <v>55</v>
      </c>
      <c r="K1518" s="25">
        <v>14</v>
      </c>
      <c r="L1518" s="25">
        <v>2</v>
      </c>
      <c r="M1518" s="25">
        <v>56</v>
      </c>
      <c r="N1518" s="24">
        <f>M1518/L1518</f>
        <v>28</v>
      </c>
      <c r="O1518" s="23"/>
    </row>
    <row r="1519" spans="1:15" s="54" customFormat="1" x14ac:dyDescent="0.2">
      <c r="A1519" s="4"/>
      <c r="B1519" s="2" t="s">
        <v>1259</v>
      </c>
      <c r="C1519" s="2" t="s">
        <v>83</v>
      </c>
      <c r="D1519" s="7">
        <v>1</v>
      </c>
      <c r="E1519" s="7"/>
      <c r="F1519" s="17">
        <v>8</v>
      </c>
      <c r="G1519" s="17">
        <v>2</v>
      </c>
      <c r="H1519" s="17">
        <v>13</v>
      </c>
      <c r="I1519" s="16">
        <f>H1519/(F1519-G1519)</f>
        <v>2.1666666666666665</v>
      </c>
      <c r="J1519" s="17">
        <v>4</v>
      </c>
      <c r="K1519" s="25"/>
      <c r="L1519" s="25"/>
      <c r="M1519" s="25"/>
      <c r="N1519" s="24" t="e">
        <f>M1519/L1519</f>
        <v>#DIV/0!</v>
      </c>
      <c r="O1519" s="23"/>
    </row>
    <row r="1520" spans="1:15" s="54" customFormat="1" x14ac:dyDescent="0.2">
      <c r="A1520" s="4"/>
      <c r="B1520" s="2" t="s">
        <v>1260</v>
      </c>
      <c r="C1520" s="2" t="s">
        <v>29</v>
      </c>
      <c r="D1520" s="7">
        <v>11</v>
      </c>
      <c r="E1520" s="7"/>
      <c r="F1520" s="17">
        <v>26</v>
      </c>
      <c r="G1520" s="17">
        <v>15</v>
      </c>
      <c r="H1520" s="17">
        <v>765</v>
      </c>
      <c r="I1520" s="16">
        <f>H1520/(F1520-G1520)</f>
        <v>69.545454545454547</v>
      </c>
      <c r="J1520" s="17">
        <v>110</v>
      </c>
      <c r="K1520" s="25">
        <v>47</v>
      </c>
      <c r="L1520" s="25">
        <v>55</v>
      </c>
      <c r="M1520" s="25">
        <v>621</v>
      </c>
      <c r="N1520" s="24">
        <f>M1520/L1520</f>
        <v>11.290909090909091</v>
      </c>
      <c r="O1520" s="23"/>
    </row>
    <row r="1521" spans="1:15" s="54" customFormat="1" x14ac:dyDescent="0.2">
      <c r="A1521" s="4">
        <v>977192</v>
      </c>
      <c r="B1521" s="52" t="s">
        <v>1414</v>
      </c>
      <c r="C1521" s="2" t="s">
        <v>1451</v>
      </c>
      <c r="D1521" s="7">
        <f>3</f>
        <v>3</v>
      </c>
      <c r="E1521" s="7">
        <f>0</f>
        <v>0</v>
      </c>
      <c r="F1521" s="17">
        <f>8</f>
        <v>8</v>
      </c>
      <c r="G1521" s="17">
        <f>2</f>
        <v>2</v>
      </c>
      <c r="H1521" s="17">
        <f>63</f>
        <v>63</v>
      </c>
      <c r="I1521" s="16">
        <f>H1521/(F1521-G1521)</f>
        <v>10.5</v>
      </c>
      <c r="J1521" s="17" t="s">
        <v>420</v>
      </c>
      <c r="K1521" s="25">
        <f>36</f>
        <v>36</v>
      </c>
      <c r="L1521" s="25">
        <f>10</f>
        <v>10</v>
      </c>
      <c r="M1521" s="25">
        <f>132</f>
        <v>132</v>
      </c>
      <c r="N1521" s="24">
        <f>M1521/L1521</f>
        <v>13.2</v>
      </c>
      <c r="O1521" s="49" t="s">
        <v>1459</v>
      </c>
    </row>
    <row r="1522" spans="1:15" s="54" customFormat="1" x14ac:dyDescent="0.2">
      <c r="A1522" s="4">
        <v>681773</v>
      </c>
      <c r="B1522" s="4" t="s">
        <v>1261</v>
      </c>
      <c r="C1522" s="2" t="s">
        <v>209</v>
      </c>
      <c r="D1522" s="7">
        <f>1+2+3+1+1+0+0</f>
        <v>8</v>
      </c>
      <c r="E1522" s="7">
        <f>0+0+0</f>
        <v>0</v>
      </c>
      <c r="F1522" s="17">
        <f>12+12+10+9+9+2+2</f>
        <v>56</v>
      </c>
      <c r="G1522" s="17">
        <f>1+2+4+0+3+0+0</f>
        <v>10</v>
      </c>
      <c r="H1522" s="17">
        <f>60+127+178+182+188+10+49</f>
        <v>794</v>
      </c>
      <c r="I1522" s="16">
        <f>H1522/(F1522-G1522)</f>
        <v>17.260869565217391</v>
      </c>
      <c r="J1522" s="17" t="s">
        <v>355</v>
      </c>
      <c r="K1522" s="25">
        <f>66+82+41+57+55+20+4</f>
        <v>325</v>
      </c>
      <c r="L1522" s="25">
        <f>5+4+6+16+11+4+0</f>
        <v>46</v>
      </c>
      <c r="M1522" s="25">
        <f>211+157+92+174+201+65+28</f>
        <v>928</v>
      </c>
      <c r="N1522" s="24">
        <f>M1522/L1522</f>
        <v>20.173913043478262</v>
      </c>
      <c r="O1522" s="49" t="s">
        <v>1471</v>
      </c>
    </row>
    <row r="1523" spans="1:15" s="54" customFormat="1" x14ac:dyDescent="0.2">
      <c r="A1523" s="4"/>
      <c r="B1523" s="2" t="s">
        <v>1262</v>
      </c>
      <c r="C1523" s="2" t="s">
        <v>72</v>
      </c>
      <c r="D1523" s="7">
        <v>2</v>
      </c>
      <c r="E1523" s="7"/>
      <c r="F1523" s="17">
        <v>12</v>
      </c>
      <c r="G1523" s="17">
        <v>2</v>
      </c>
      <c r="H1523" s="17">
        <v>14</v>
      </c>
      <c r="I1523" s="16">
        <f>H1523/(F1523-G1523)</f>
        <v>1.4</v>
      </c>
      <c r="J1523" s="17">
        <v>4</v>
      </c>
      <c r="K1523" s="25">
        <v>16</v>
      </c>
      <c r="L1523" s="25">
        <v>4</v>
      </c>
      <c r="M1523" s="25">
        <v>75</v>
      </c>
      <c r="N1523" s="24">
        <f>M1523/L1523</f>
        <v>18.75</v>
      </c>
      <c r="O1523" s="23"/>
    </row>
    <row r="1524" spans="1:15" s="54" customFormat="1" x14ac:dyDescent="0.2">
      <c r="A1524" s="84">
        <v>1310452</v>
      </c>
      <c r="B1524" s="2" t="s">
        <v>1776</v>
      </c>
      <c r="C1524" s="2" t="s">
        <v>1777</v>
      </c>
      <c r="D1524" s="7">
        <f>0</f>
        <v>0</v>
      </c>
      <c r="E1524" s="7">
        <f>0</f>
        <v>0</v>
      </c>
      <c r="F1524" s="17">
        <f>8</f>
        <v>8</v>
      </c>
      <c r="G1524" s="17">
        <f>2</f>
        <v>2</v>
      </c>
      <c r="H1524" s="17">
        <f>6</f>
        <v>6</v>
      </c>
      <c r="I1524" s="16">
        <f>H1524/(F1524-G1524)</f>
        <v>1</v>
      </c>
      <c r="J1524" s="17" t="s">
        <v>1346</v>
      </c>
      <c r="K1524" s="25">
        <f>6</f>
        <v>6</v>
      </c>
      <c r="L1524" s="25">
        <f>2</f>
        <v>2</v>
      </c>
      <c r="M1524" s="25">
        <f>27</f>
        <v>27</v>
      </c>
      <c r="N1524" s="24">
        <f>M1524/L1524</f>
        <v>13.5</v>
      </c>
      <c r="O1524" s="49" t="s">
        <v>1355</v>
      </c>
    </row>
    <row r="1525" spans="1:15" s="54" customFormat="1" x14ac:dyDescent="0.2">
      <c r="A1525" s="4"/>
      <c r="B1525" s="2" t="s">
        <v>1263</v>
      </c>
      <c r="C1525" s="2" t="s">
        <v>24</v>
      </c>
      <c r="D1525" s="7">
        <v>13</v>
      </c>
      <c r="E1525" s="7"/>
      <c r="F1525" s="17">
        <v>15</v>
      </c>
      <c r="G1525" s="17">
        <v>4</v>
      </c>
      <c r="H1525" s="17">
        <v>234</v>
      </c>
      <c r="I1525" s="16">
        <f>H1525/(F1525-G1525)</f>
        <v>21.272727272727273</v>
      </c>
      <c r="J1525" s="17" t="s">
        <v>454</v>
      </c>
      <c r="K1525" s="25"/>
      <c r="L1525" s="25"/>
      <c r="M1525" s="25"/>
      <c r="N1525" s="24" t="e">
        <f>M1525/L1525</f>
        <v>#DIV/0!</v>
      </c>
      <c r="O1525" s="23"/>
    </row>
    <row r="1526" spans="1:15" s="54" customFormat="1" x14ac:dyDescent="0.2">
      <c r="A1526" s="4"/>
      <c r="B1526" s="2" t="s">
        <v>1264</v>
      </c>
      <c r="C1526" s="2" t="s">
        <v>19</v>
      </c>
      <c r="D1526" s="7">
        <f>1+1</f>
        <v>2</v>
      </c>
      <c r="E1526" s="7"/>
      <c r="F1526" s="17">
        <f>11+2+8</f>
        <v>21</v>
      </c>
      <c r="G1526" s="17">
        <f>1+3</f>
        <v>4</v>
      </c>
      <c r="H1526" s="17">
        <f>7+2+2</f>
        <v>11</v>
      </c>
      <c r="I1526" s="16">
        <f>H1526/(F1526-G1526)</f>
        <v>0.6470588235294118</v>
      </c>
      <c r="J1526" s="17">
        <v>3</v>
      </c>
      <c r="K1526" s="25">
        <f>44+2+14</f>
        <v>60</v>
      </c>
      <c r="L1526" s="25">
        <f>8+2</f>
        <v>10</v>
      </c>
      <c r="M1526" s="25">
        <f>138+8+55</f>
        <v>201</v>
      </c>
      <c r="N1526" s="24">
        <f>M1526/L1526</f>
        <v>20.100000000000001</v>
      </c>
      <c r="O1526" s="23"/>
    </row>
    <row r="1527" spans="1:15" s="54" customFormat="1" x14ac:dyDescent="0.2">
      <c r="A1527" s="4"/>
      <c r="B1527" s="2" t="s">
        <v>1265</v>
      </c>
      <c r="C1527" s="2" t="s">
        <v>18</v>
      </c>
      <c r="D1527" s="7">
        <v>1</v>
      </c>
      <c r="E1527" s="7"/>
      <c r="F1527" s="17">
        <v>11</v>
      </c>
      <c r="G1527" s="17">
        <v>5</v>
      </c>
      <c r="H1527" s="17">
        <v>15</v>
      </c>
      <c r="I1527" s="16">
        <f>H1527/(F1527-G1527)</f>
        <v>2.5</v>
      </c>
      <c r="J1527" s="17"/>
      <c r="K1527" s="25">
        <v>20</v>
      </c>
      <c r="L1527" s="25">
        <v>4</v>
      </c>
      <c r="M1527" s="25">
        <v>56</v>
      </c>
      <c r="N1527" s="24">
        <f>M1527/L1527</f>
        <v>14</v>
      </c>
      <c r="O1527" s="23"/>
    </row>
    <row r="1528" spans="1:15" s="54" customFormat="1" x14ac:dyDescent="0.2">
      <c r="A1528" s="4"/>
      <c r="B1528" s="2" t="s">
        <v>1266</v>
      </c>
      <c r="C1528" s="2" t="s">
        <v>17</v>
      </c>
      <c r="D1528" s="7">
        <v>7</v>
      </c>
      <c r="E1528" s="7"/>
      <c r="F1528" s="17">
        <v>28</v>
      </c>
      <c r="G1528" s="17">
        <v>4</v>
      </c>
      <c r="H1528" s="17">
        <v>70</v>
      </c>
      <c r="I1528" s="16">
        <f>H1528/(F1528-G1528)</f>
        <v>2.9166666666666665</v>
      </c>
      <c r="J1528" s="17">
        <v>14</v>
      </c>
      <c r="K1528" s="25">
        <v>44</v>
      </c>
      <c r="L1528" s="25">
        <v>6</v>
      </c>
      <c r="M1528" s="25">
        <v>160</v>
      </c>
      <c r="N1528" s="24">
        <f>M1528/L1528</f>
        <v>26.666666666666668</v>
      </c>
      <c r="O1528" s="23"/>
    </row>
    <row r="1529" spans="1:15" s="54" customFormat="1" x14ac:dyDescent="0.2">
      <c r="A1529" s="4"/>
      <c r="B1529" s="2" t="s">
        <v>1267</v>
      </c>
      <c r="C1529" s="2" t="s">
        <v>163</v>
      </c>
      <c r="D1529" s="7">
        <v>82</v>
      </c>
      <c r="E1529" s="7"/>
      <c r="F1529" s="17">
        <v>185</v>
      </c>
      <c r="G1529" s="17">
        <v>25</v>
      </c>
      <c r="H1529" s="17">
        <v>2624</v>
      </c>
      <c r="I1529" s="16">
        <f>H1529/(F1529-G1529)</f>
        <v>16.399999999999999</v>
      </c>
      <c r="J1529" s="17">
        <v>96</v>
      </c>
      <c r="K1529" s="25">
        <v>6</v>
      </c>
      <c r="L1529" s="25">
        <v>1</v>
      </c>
      <c r="M1529" s="25">
        <v>31</v>
      </c>
      <c r="N1529" s="24">
        <f>M1529/L1529</f>
        <v>31</v>
      </c>
      <c r="O1529" s="23"/>
    </row>
    <row r="1530" spans="1:15" s="54" customFormat="1" x14ac:dyDescent="0.2">
      <c r="A1530" s="4"/>
      <c r="B1530" s="4" t="s">
        <v>1268</v>
      </c>
      <c r="C1530" s="2" t="s">
        <v>219</v>
      </c>
      <c r="D1530" s="7">
        <f>3+7+0+9+6</f>
        <v>25</v>
      </c>
      <c r="E1530" s="7"/>
      <c r="F1530" s="17">
        <f>12+10+1+11+11</f>
        <v>45</v>
      </c>
      <c r="G1530" s="17">
        <f>3+1+0+3+2</f>
        <v>9</v>
      </c>
      <c r="H1530" s="17">
        <f>195+236+39+294+217</f>
        <v>981</v>
      </c>
      <c r="I1530" s="16">
        <f>H1530/(F1530-G1530)</f>
        <v>27.25</v>
      </c>
      <c r="J1530" s="17">
        <v>107</v>
      </c>
      <c r="K1530" s="25">
        <f>68+66+78+75</f>
        <v>287</v>
      </c>
      <c r="L1530" s="25">
        <f>11+13+14+13</f>
        <v>51</v>
      </c>
      <c r="M1530" s="25">
        <f>123+160+197+158</f>
        <v>638</v>
      </c>
      <c r="N1530" s="24">
        <f>M1530/L1530</f>
        <v>12.509803921568627</v>
      </c>
      <c r="O1530" s="23"/>
    </row>
    <row r="1531" spans="1:15" s="54" customFormat="1" x14ac:dyDescent="0.2">
      <c r="A1531" s="4"/>
      <c r="B1531" s="2" t="s">
        <v>1269</v>
      </c>
      <c r="C1531" s="2" t="s">
        <v>70</v>
      </c>
      <c r="D1531" s="7">
        <v>11</v>
      </c>
      <c r="E1531" s="7"/>
      <c r="F1531" s="17">
        <v>31</v>
      </c>
      <c r="G1531" s="17">
        <v>7</v>
      </c>
      <c r="H1531" s="17">
        <v>65</v>
      </c>
      <c r="I1531" s="16">
        <f>H1531/(F1531-G1531)</f>
        <v>2.7083333333333335</v>
      </c>
      <c r="J1531" s="17">
        <v>12</v>
      </c>
      <c r="K1531" s="25">
        <v>104</v>
      </c>
      <c r="L1531" s="25">
        <v>19</v>
      </c>
      <c r="M1531" s="25">
        <v>384</v>
      </c>
      <c r="N1531" s="24">
        <f>M1531/L1531</f>
        <v>20.210526315789473</v>
      </c>
      <c r="O1531" s="23"/>
    </row>
    <row r="1532" spans="1:15" s="54" customFormat="1" x14ac:dyDescent="0.2">
      <c r="A1532" s="4"/>
      <c r="B1532" s="2" t="s">
        <v>1270</v>
      </c>
      <c r="C1532" s="2" t="s">
        <v>27</v>
      </c>
      <c r="D1532" s="7">
        <v>42</v>
      </c>
      <c r="E1532" s="7"/>
      <c r="F1532" s="17">
        <v>89</v>
      </c>
      <c r="G1532" s="17">
        <v>17</v>
      </c>
      <c r="H1532" s="17">
        <v>735</v>
      </c>
      <c r="I1532" s="16">
        <f>H1532/(F1532-G1532)</f>
        <v>10.208333333333334</v>
      </c>
      <c r="J1532" s="17">
        <v>59</v>
      </c>
      <c r="K1532" s="25">
        <v>697</v>
      </c>
      <c r="L1532" s="25">
        <v>131</v>
      </c>
      <c r="M1532" s="25">
        <v>2199</v>
      </c>
      <c r="N1532" s="24">
        <f>M1532/L1532</f>
        <v>16.786259541984734</v>
      </c>
      <c r="O1532" s="23"/>
    </row>
    <row r="1533" spans="1:15" s="54" customFormat="1" x14ac:dyDescent="0.2">
      <c r="A1533" s="4"/>
      <c r="B1533" s="2" t="s">
        <v>1271</v>
      </c>
      <c r="C1533" s="2" t="s">
        <v>15</v>
      </c>
      <c r="D1533" s="7">
        <f>13+1</f>
        <v>14</v>
      </c>
      <c r="E1533" s="7"/>
      <c r="F1533" s="17">
        <f>35+10</f>
        <v>45</v>
      </c>
      <c r="G1533" s="17">
        <f>20+2</f>
        <v>22</v>
      </c>
      <c r="H1533" s="17">
        <f>376+115</f>
        <v>491</v>
      </c>
      <c r="I1533" s="16">
        <f>H1533/(F1533-G1533)</f>
        <v>21.347826086956523</v>
      </c>
      <c r="J1533" s="17" t="s">
        <v>394</v>
      </c>
      <c r="K1533" s="25">
        <f>162+32</f>
        <v>194</v>
      </c>
      <c r="L1533" s="25">
        <f>45+7</f>
        <v>52</v>
      </c>
      <c r="M1533" s="25">
        <f>357+148</f>
        <v>505</v>
      </c>
      <c r="N1533" s="24">
        <f>M1533/L1533</f>
        <v>9.7115384615384617</v>
      </c>
      <c r="O1533" s="23"/>
    </row>
    <row r="1534" spans="1:15" s="54" customFormat="1" x14ac:dyDescent="0.2">
      <c r="A1534" s="4">
        <v>682294</v>
      </c>
      <c r="B1534" s="2" t="s">
        <v>1322</v>
      </c>
      <c r="C1534" s="2" t="s">
        <v>101</v>
      </c>
      <c r="D1534" s="7">
        <f>49+3+1+6+7+1+8+1+6+5+1+4+5+6+6+5+4+2+4+7+9+6+7+3</f>
        <v>156</v>
      </c>
      <c r="E1534" s="7">
        <f>0+0+0+0+0+0</f>
        <v>0</v>
      </c>
      <c r="F1534" s="17">
        <f>119+7+3+1+11+10+1+1+3+13+2+1+11+7+1+14+12+13+10+6+13+3+12+11+14+15+13+12</f>
        <v>339</v>
      </c>
      <c r="G1534" s="17">
        <f>29+1+1+1+1+1+1+1+0+1+0+0+0+1+1+1+0+3+1+2+0</f>
        <v>46</v>
      </c>
      <c r="H1534" s="17">
        <f>1209+76+33+23+486+191+34+39+204+20+228+72+21+326+157+244+226+103+269+14+214+180+416+396+179+160</f>
        <v>5520</v>
      </c>
      <c r="I1534" s="16">
        <f>H1534/(F1534-G1534)</f>
        <v>18.839590443686006</v>
      </c>
      <c r="J1534" s="17">
        <v>227</v>
      </c>
      <c r="K1534" s="25">
        <f>354+20+3+54+31+2+31+7+6+61+9+2+106+1+30+20+43+127+98.2+69+33+59.2+85.1</f>
        <v>1251.5</v>
      </c>
      <c r="L1534" s="25">
        <f>55+1+11+5+5+12+2+1+16+1+3+4+5+22+16+17+4+17+12</f>
        <v>209</v>
      </c>
      <c r="M1534" s="25">
        <f>940+68+28+106+124+1+74+24+22+200+55+8+349+10+148+104+145+508+242+301+202+197+283</f>
        <v>4139</v>
      </c>
      <c r="N1534" s="24">
        <f>M1534/L1534</f>
        <v>19.803827751196174</v>
      </c>
      <c r="O1534" s="49" t="s">
        <v>1352</v>
      </c>
    </row>
    <row r="1535" spans="1:15" s="54" customFormat="1" x14ac:dyDescent="0.2">
      <c r="A1535" s="4"/>
      <c r="B1535" s="2" t="s">
        <v>1272</v>
      </c>
      <c r="C1535" s="2" t="s">
        <v>113</v>
      </c>
      <c r="D1535" s="7">
        <f>2+4+2+4+4+1</f>
        <v>17</v>
      </c>
      <c r="E1535" s="7"/>
      <c r="F1535" s="17">
        <v>7</v>
      </c>
      <c r="G1535" s="17">
        <f>2+2+1+1+1+2+1</f>
        <v>10</v>
      </c>
      <c r="H1535" s="17">
        <f>202+6+248+148+131+241+152+14</f>
        <v>1142</v>
      </c>
      <c r="I1535" s="16">
        <f>H1535/(F1535-G1535)</f>
        <v>-380.66666666666669</v>
      </c>
      <c r="J1535" s="17">
        <v>137</v>
      </c>
      <c r="K1535" s="25">
        <f>71+3+39+8+39.3+0+1</f>
        <v>161.30000000000001</v>
      </c>
      <c r="L1535" s="25">
        <f>18+1+7+3+10+0+0</f>
        <v>39</v>
      </c>
      <c r="M1535" s="25">
        <f>234+26+134+33+114+0+5</f>
        <v>546</v>
      </c>
      <c r="N1535" s="24">
        <f>M1535/L1535</f>
        <v>14</v>
      </c>
      <c r="O1535" s="23"/>
    </row>
    <row r="1536" spans="1:15" s="54" customFormat="1" x14ac:dyDescent="0.2">
      <c r="A1536" s="4">
        <v>1221070</v>
      </c>
      <c r="B1536" s="2" t="s">
        <v>1273</v>
      </c>
      <c r="C1536" s="2" t="s">
        <v>29</v>
      </c>
      <c r="D1536" s="7">
        <f>13+1+0</f>
        <v>14</v>
      </c>
      <c r="E1536" s="7">
        <f>0</f>
        <v>0</v>
      </c>
      <c r="F1536" s="17">
        <f>20+1+1+1</f>
        <v>23</v>
      </c>
      <c r="G1536" s="17">
        <f>2+1+1</f>
        <v>4</v>
      </c>
      <c r="H1536" s="17">
        <f>157+5+0</f>
        <v>162</v>
      </c>
      <c r="I1536" s="16">
        <f>H1536/(F1536-G1536)</f>
        <v>8.526315789473685</v>
      </c>
      <c r="J1536" s="17">
        <v>40</v>
      </c>
      <c r="K1536" s="25">
        <f>57+5+2</f>
        <v>64</v>
      </c>
      <c r="L1536" s="25">
        <f>7+1+0</f>
        <v>8</v>
      </c>
      <c r="M1536" s="25">
        <f>196+15+18</f>
        <v>229</v>
      </c>
      <c r="N1536" s="24">
        <f>M1536/L1536</f>
        <v>28.625</v>
      </c>
      <c r="O1536" s="23"/>
    </row>
    <row r="1537" spans="1:15" s="54" customFormat="1" x14ac:dyDescent="0.2">
      <c r="A1537" s="4"/>
      <c r="B1537" s="2" t="s">
        <v>1274</v>
      </c>
      <c r="C1537" s="2" t="s">
        <v>30</v>
      </c>
      <c r="D1537" s="7">
        <v>9</v>
      </c>
      <c r="E1537" s="7"/>
      <c r="F1537" s="17">
        <v>29</v>
      </c>
      <c r="G1537" s="17">
        <v>1</v>
      </c>
      <c r="H1537" s="17">
        <v>300</v>
      </c>
      <c r="I1537" s="16">
        <f>H1537/(F1537-G1537)</f>
        <v>10.714285714285714</v>
      </c>
      <c r="J1537" s="17">
        <v>31</v>
      </c>
      <c r="K1537" s="25">
        <v>222</v>
      </c>
      <c r="L1537" s="25">
        <v>48</v>
      </c>
      <c r="M1537" s="25">
        <v>799</v>
      </c>
      <c r="N1537" s="24">
        <f>M1537/L1537</f>
        <v>16.645833333333332</v>
      </c>
      <c r="O1537" s="23"/>
    </row>
    <row r="1538" spans="1:15" s="54" customFormat="1" x14ac:dyDescent="0.2">
      <c r="A1538" s="4"/>
      <c r="B1538" s="2" t="s">
        <v>1275</v>
      </c>
      <c r="C1538" s="2" t="s">
        <v>112</v>
      </c>
      <c r="D1538" s="7">
        <f>7+6+3+1+4+0</f>
        <v>21</v>
      </c>
      <c r="E1538" s="7"/>
      <c r="F1538" s="17">
        <f>20+1+13+13+13+1</f>
        <v>61</v>
      </c>
      <c r="G1538" s="17">
        <f>2+3+0+0</f>
        <v>5</v>
      </c>
      <c r="H1538" s="17">
        <f>95+77+173+111+359+0</f>
        <v>815</v>
      </c>
      <c r="I1538" s="16">
        <f>H1538/(F1538-G1538)</f>
        <v>14.553571428571429</v>
      </c>
      <c r="J1538" s="17">
        <v>87</v>
      </c>
      <c r="K1538" s="25">
        <f>63+55+10+80+101+81+5</f>
        <v>395</v>
      </c>
      <c r="L1538" s="25">
        <f>13+18+2+13+24+21+2</f>
        <v>93</v>
      </c>
      <c r="M1538" s="25">
        <f>138+108+13+112+252+189+21</f>
        <v>833</v>
      </c>
      <c r="N1538" s="24">
        <f>M1538/L1538</f>
        <v>8.956989247311828</v>
      </c>
      <c r="O1538" s="23"/>
    </row>
    <row r="1539" spans="1:15" s="54" customFormat="1" x14ac:dyDescent="0.2">
      <c r="A1539" s="4">
        <v>683830</v>
      </c>
      <c r="B1539" s="52" t="s">
        <v>1403</v>
      </c>
      <c r="C1539" s="2" t="s">
        <v>1452</v>
      </c>
      <c r="D1539" s="7">
        <f>10+4+4+1+6+3+5+6+8+8+2+4</f>
        <v>61</v>
      </c>
      <c r="E1539" s="7">
        <f>0+0+0+0+0</f>
        <v>0</v>
      </c>
      <c r="F1539" s="17">
        <f>44+9+10+2+12+7+1+11+1+1+15+13+13+5+3</f>
        <v>147</v>
      </c>
      <c r="G1539" s="17">
        <f>13+1+1+2+3+3+2+2+0</f>
        <v>27</v>
      </c>
      <c r="H1539" s="17">
        <f>481+328+168+25+260+199+13+326+43+10+474+371+357+56+74</f>
        <v>3185</v>
      </c>
      <c r="I1539" s="16">
        <f>H1539/(F1539-G1539)</f>
        <v>26.541666666666668</v>
      </c>
      <c r="J1539" s="17" t="s">
        <v>408</v>
      </c>
      <c r="K1539" s="25">
        <f>307+68+55+9+91+65+10+9+4+33+22.2+53.2+4+3</f>
        <v>733.40000000000009</v>
      </c>
      <c r="L1539" s="25">
        <f>85+16+11+5+18+9+3+12+3+10+0+0</f>
        <v>172</v>
      </c>
      <c r="M1539" s="25">
        <f>489+106+107+25+263+187+37+58+14+79+62+171+13+27</f>
        <v>1638</v>
      </c>
      <c r="N1539" s="24">
        <f>M1539/L1539</f>
        <v>9.5232558139534884</v>
      </c>
      <c r="O1539" s="49" t="s">
        <v>1463</v>
      </c>
    </row>
    <row r="1540" spans="1:15" s="54" customFormat="1" x14ac:dyDescent="0.2">
      <c r="A1540" s="4"/>
      <c r="B1540" s="2" t="s">
        <v>1276</v>
      </c>
      <c r="C1540" s="2" t="s">
        <v>12</v>
      </c>
      <c r="D1540" s="7">
        <v>2</v>
      </c>
      <c r="E1540" s="7"/>
      <c r="F1540" s="17">
        <v>13</v>
      </c>
      <c r="G1540" s="17">
        <v>1</v>
      </c>
      <c r="H1540" s="17">
        <v>120</v>
      </c>
      <c r="I1540" s="16">
        <f>H1540/(F1540-G1540)</f>
        <v>10</v>
      </c>
      <c r="J1540" s="17">
        <v>38</v>
      </c>
      <c r="K1540" s="25">
        <v>117.3</v>
      </c>
      <c r="L1540" s="25">
        <v>25</v>
      </c>
      <c r="M1540" s="25">
        <v>356</v>
      </c>
      <c r="N1540" s="24">
        <f>M1540/L1540</f>
        <v>14.24</v>
      </c>
      <c r="O1540" s="23"/>
    </row>
    <row r="1541" spans="1:15" s="54" customFormat="1" x14ac:dyDescent="0.2">
      <c r="A1541" s="4"/>
      <c r="B1541" s="2" t="s">
        <v>1277</v>
      </c>
      <c r="C1541" s="2" t="s">
        <v>85</v>
      </c>
      <c r="D1541" s="7">
        <f>1+1+2+2+3</f>
        <v>9</v>
      </c>
      <c r="E1541" s="7"/>
      <c r="F1541" s="17">
        <f>27+3+2+7+12+2+18</f>
        <v>71</v>
      </c>
      <c r="G1541" s="17">
        <f>2+3+2</f>
        <v>7</v>
      </c>
      <c r="H1541" s="17">
        <f>42+7+14+25+2+60</f>
        <v>150</v>
      </c>
      <c r="I1541" s="16">
        <f>H1541/(F1541-G1541)</f>
        <v>2.34375</v>
      </c>
      <c r="J1541" s="17">
        <v>13</v>
      </c>
      <c r="K1541" s="25">
        <f>40+1+1+9</f>
        <v>51</v>
      </c>
      <c r="L1541" s="25">
        <v>5</v>
      </c>
      <c r="M1541" s="25">
        <f>251+6+4+87</f>
        <v>348</v>
      </c>
      <c r="N1541" s="24">
        <f>M1541/L1541</f>
        <v>69.599999999999994</v>
      </c>
      <c r="O1541" s="23"/>
    </row>
    <row r="1542" spans="1:15" s="54" customFormat="1" x14ac:dyDescent="0.2">
      <c r="A1542" s="4"/>
      <c r="B1542" s="2" t="s">
        <v>1278</v>
      </c>
      <c r="C1542" s="2" t="s">
        <v>15</v>
      </c>
      <c r="D1542" s="7">
        <v>1</v>
      </c>
      <c r="E1542" s="7"/>
      <c r="F1542" s="17">
        <v>13</v>
      </c>
      <c r="G1542" s="17">
        <v>4</v>
      </c>
      <c r="H1542" s="17">
        <v>48</v>
      </c>
      <c r="I1542" s="16">
        <f>H1542/(F1542-G1542)</f>
        <v>5.333333333333333</v>
      </c>
      <c r="J1542" s="17" t="s">
        <v>442</v>
      </c>
      <c r="K1542" s="25">
        <v>9</v>
      </c>
      <c r="L1542" s="25">
        <v>4</v>
      </c>
      <c r="M1542" s="25">
        <v>37</v>
      </c>
      <c r="N1542" s="24">
        <f>M1542/L1542</f>
        <v>9.25</v>
      </c>
      <c r="O1542" s="23"/>
    </row>
    <row r="1543" spans="1:15" s="54" customFormat="1" x14ac:dyDescent="0.2">
      <c r="A1543" s="4"/>
      <c r="B1543" s="4" t="s">
        <v>1279</v>
      </c>
      <c r="C1543" s="2" t="s">
        <v>335</v>
      </c>
      <c r="D1543" s="7">
        <f>3+1+3</f>
        <v>7</v>
      </c>
      <c r="E1543" s="7"/>
      <c r="F1543" s="17">
        <f>9+2+9</f>
        <v>20</v>
      </c>
      <c r="G1543" s="17">
        <f>1+0+0</f>
        <v>1</v>
      </c>
      <c r="H1543" s="17">
        <f>63+17+70</f>
        <v>150</v>
      </c>
      <c r="I1543" s="16">
        <f>H1543/(F1543-G1543)</f>
        <v>7.8947368421052628</v>
      </c>
      <c r="J1543" s="17">
        <v>38</v>
      </c>
      <c r="K1543" s="25">
        <f>3+20.2</f>
        <v>23.2</v>
      </c>
      <c r="L1543" s="25">
        <f>0+6</f>
        <v>6</v>
      </c>
      <c r="M1543" s="25">
        <f>7+120</f>
        <v>127</v>
      </c>
      <c r="N1543" s="24">
        <f>M1543/L1543</f>
        <v>21.166666666666668</v>
      </c>
      <c r="O1543" s="23"/>
    </row>
    <row r="1544" spans="1:15" s="54" customFormat="1" x14ac:dyDescent="0.2">
      <c r="A1544" s="4"/>
      <c r="B1544" s="2" t="s">
        <v>1280</v>
      </c>
      <c r="C1544" s="2" t="s">
        <v>18</v>
      </c>
      <c r="D1544" s="7">
        <v>8</v>
      </c>
      <c r="E1544" s="7"/>
      <c r="F1544" s="17">
        <v>21</v>
      </c>
      <c r="G1544" s="17">
        <v>6</v>
      </c>
      <c r="H1544" s="17">
        <v>152</v>
      </c>
      <c r="I1544" s="16">
        <f>H1544/(F1544-G1544)</f>
        <v>10.133333333333333</v>
      </c>
      <c r="J1544" s="17">
        <v>20</v>
      </c>
      <c r="K1544" s="25">
        <v>57</v>
      </c>
      <c r="L1544" s="25">
        <v>7</v>
      </c>
      <c r="M1544" s="25">
        <v>125</v>
      </c>
      <c r="N1544" s="24">
        <f>M1544/L1544</f>
        <v>17.857142857142858</v>
      </c>
      <c r="O1544" s="23"/>
    </row>
    <row r="1545" spans="1:15" s="54" customFormat="1" x14ac:dyDescent="0.2">
      <c r="A1545" s="4"/>
      <c r="B1545" s="2" t="s">
        <v>1281</v>
      </c>
      <c r="C1545" s="2" t="s">
        <v>20</v>
      </c>
      <c r="D1545" s="7">
        <v>0</v>
      </c>
      <c r="E1545" s="7"/>
      <c r="F1545" s="17">
        <v>7</v>
      </c>
      <c r="G1545" s="17">
        <v>0</v>
      </c>
      <c r="H1545" s="17">
        <v>76</v>
      </c>
      <c r="I1545" s="16">
        <f>H1545/(F1545-G1545)</f>
        <v>10.857142857142858</v>
      </c>
      <c r="J1545" s="17">
        <v>28</v>
      </c>
      <c r="K1545" s="25">
        <v>29</v>
      </c>
      <c r="L1545" s="25">
        <v>6</v>
      </c>
      <c r="M1545" s="25">
        <v>125</v>
      </c>
      <c r="N1545" s="24">
        <f>M1545/L1545</f>
        <v>20.833333333333332</v>
      </c>
      <c r="O1545" s="23"/>
    </row>
    <row r="1546" spans="1:15" s="54" customFormat="1" x14ac:dyDescent="0.2">
      <c r="A1546" s="4"/>
      <c r="B1546" s="2" t="s">
        <v>1282</v>
      </c>
      <c r="C1546" s="2" t="s">
        <v>11</v>
      </c>
      <c r="D1546" s="7">
        <v>20</v>
      </c>
      <c r="E1546" s="7"/>
      <c r="F1546" s="17">
        <v>27</v>
      </c>
      <c r="G1546" s="17">
        <v>5</v>
      </c>
      <c r="H1546" s="17">
        <v>634</v>
      </c>
      <c r="I1546" s="16">
        <f>H1546/(F1546-G1546)</f>
        <v>28.818181818181817</v>
      </c>
      <c r="J1546" s="17">
        <v>83</v>
      </c>
      <c r="K1546" s="25">
        <v>1</v>
      </c>
      <c r="L1546" s="25">
        <v>1</v>
      </c>
      <c r="M1546" s="25">
        <v>4</v>
      </c>
      <c r="N1546" s="24">
        <f>M1546/L1546</f>
        <v>4</v>
      </c>
      <c r="O1546" s="23"/>
    </row>
    <row r="1547" spans="1:15" s="54" customFormat="1" x14ac:dyDescent="0.2">
      <c r="A1547" s="4"/>
      <c r="B1547" s="2" t="s">
        <v>1283</v>
      </c>
      <c r="C1547" s="2" t="s">
        <v>118</v>
      </c>
      <c r="D1547" s="7"/>
      <c r="E1547" s="7"/>
      <c r="F1547" s="17">
        <v>8</v>
      </c>
      <c r="G1547" s="17">
        <v>0</v>
      </c>
      <c r="H1547" s="17">
        <v>65</v>
      </c>
      <c r="I1547" s="16">
        <f>H1547/(F1547-G1547)</f>
        <v>8.125</v>
      </c>
      <c r="J1547" s="17">
        <v>46</v>
      </c>
      <c r="K1547" s="25">
        <v>13</v>
      </c>
      <c r="L1547" s="25">
        <v>3</v>
      </c>
      <c r="M1547" s="25">
        <v>55</v>
      </c>
      <c r="N1547" s="24">
        <f>M1547/L1547</f>
        <v>18.333333333333332</v>
      </c>
      <c r="O1547" s="23"/>
    </row>
    <row r="1548" spans="1:15" s="54" customFormat="1" x14ac:dyDescent="0.2">
      <c r="A1548" s="4"/>
      <c r="B1548" s="4" t="s">
        <v>1284</v>
      </c>
      <c r="C1548" s="2" t="s">
        <v>43</v>
      </c>
      <c r="D1548" s="7">
        <f>1+0</f>
        <v>1</v>
      </c>
      <c r="E1548" s="7"/>
      <c r="F1548" s="17">
        <f>9+2</f>
        <v>11</v>
      </c>
      <c r="G1548" s="17">
        <f>5+0</f>
        <v>5</v>
      </c>
      <c r="H1548" s="17">
        <f>67+1</f>
        <v>68</v>
      </c>
      <c r="I1548" s="16">
        <f>H1548/(F1548-G1548)</f>
        <v>11.333333333333334</v>
      </c>
      <c r="J1548" s="17" t="s">
        <v>397</v>
      </c>
      <c r="K1548" s="25">
        <f>24</f>
        <v>24</v>
      </c>
      <c r="L1548" s="25">
        <f>7</f>
        <v>7</v>
      </c>
      <c r="M1548" s="25">
        <f>83</f>
        <v>83</v>
      </c>
      <c r="N1548" s="24">
        <f>M1548/L1548</f>
        <v>11.857142857142858</v>
      </c>
      <c r="O1548" s="23"/>
    </row>
    <row r="1549" spans="1:15" s="54" customFormat="1" x14ac:dyDescent="0.2">
      <c r="A1549" s="4"/>
      <c r="B1549" s="4" t="s">
        <v>1285</v>
      </c>
      <c r="C1549" s="2" t="s">
        <v>57</v>
      </c>
      <c r="D1549" s="7">
        <v>1</v>
      </c>
      <c r="E1549" s="7"/>
      <c r="F1549" s="17">
        <v>11</v>
      </c>
      <c r="G1549" s="17">
        <v>2</v>
      </c>
      <c r="H1549" s="17">
        <v>50</v>
      </c>
      <c r="I1549" s="16">
        <f>H1549/(F1549-G1549)</f>
        <v>5.5555555555555554</v>
      </c>
      <c r="J1549" s="17">
        <v>26</v>
      </c>
      <c r="K1549" s="25">
        <v>32</v>
      </c>
      <c r="L1549" s="25">
        <v>3</v>
      </c>
      <c r="M1549" s="25">
        <v>102</v>
      </c>
      <c r="N1549" s="24">
        <f>M1549/L1549</f>
        <v>34</v>
      </c>
      <c r="O1549" s="23"/>
    </row>
    <row r="1550" spans="1:15" s="54" customFormat="1" x14ac:dyDescent="0.2">
      <c r="A1550" s="4">
        <v>681727</v>
      </c>
      <c r="B1550" s="4" t="s">
        <v>1286</v>
      </c>
      <c r="C1550" s="2" t="s">
        <v>55</v>
      </c>
      <c r="D1550" s="7">
        <f>5+5+4+0+1</f>
        <v>15</v>
      </c>
      <c r="E1550" s="7">
        <f>0</f>
        <v>0</v>
      </c>
      <c r="F1550" s="17">
        <f>11+11+6+0+2</f>
        <v>30</v>
      </c>
      <c r="G1550" s="17">
        <f>1+0+1+0+0</f>
        <v>2</v>
      </c>
      <c r="H1550" s="17">
        <f>38+13+30+0+7</f>
        <v>88</v>
      </c>
      <c r="I1550" s="16">
        <f>H1550/(F1550-G1550)</f>
        <v>3.1428571428571428</v>
      </c>
      <c r="J1550" s="17" t="s">
        <v>269</v>
      </c>
      <c r="K1550" s="25">
        <f>48+80.3+35+8+9</f>
        <v>180.3</v>
      </c>
      <c r="L1550" s="25">
        <f>6+10+7+4+0</f>
        <v>27</v>
      </c>
      <c r="M1550" s="25">
        <f>107+152+95+36+49</f>
        <v>439</v>
      </c>
      <c r="N1550" s="24">
        <f>M1550/L1550</f>
        <v>16.25925925925926</v>
      </c>
      <c r="O1550" s="23"/>
    </row>
    <row r="1551" spans="1:15" s="54" customFormat="1" x14ac:dyDescent="0.2">
      <c r="A1551" s="4"/>
      <c r="B1551" s="2" t="s">
        <v>1287</v>
      </c>
      <c r="C1551" s="2" t="s">
        <v>118</v>
      </c>
      <c r="D1551" s="7">
        <f>3+3+4+4</f>
        <v>14</v>
      </c>
      <c r="E1551" s="7"/>
      <c r="F1551" s="17">
        <f>10+13+9+13+7+1</f>
        <v>53</v>
      </c>
      <c r="G1551" s="17">
        <f>2+3+2+1+2</f>
        <v>10</v>
      </c>
      <c r="H1551" s="17">
        <f>83+111+73+53+58</f>
        <v>378</v>
      </c>
      <c r="I1551" s="16">
        <f>H1551/(F1551-G1551)</f>
        <v>8.7906976744186043</v>
      </c>
      <c r="J1551" s="17">
        <v>27</v>
      </c>
      <c r="K1551" s="25">
        <f>12+9+11</f>
        <v>32</v>
      </c>
      <c r="L1551" s="25">
        <f>5+7+1</f>
        <v>13</v>
      </c>
      <c r="M1551" s="25">
        <f>71+45+35</f>
        <v>151</v>
      </c>
      <c r="N1551" s="24">
        <f>M1551/L1551</f>
        <v>11.615384615384615</v>
      </c>
      <c r="O1551" s="23"/>
    </row>
    <row r="1552" spans="1:15" s="54" customFormat="1" x14ac:dyDescent="0.2">
      <c r="A1552" s="84">
        <v>1536701</v>
      </c>
      <c r="B1552" s="2" t="s">
        <v>1778</v>
      </c>
      <c r="C1552" s="2" t="s">
        <v>1779</v>
      </c>
      <c r="D1552" s="7">
        <f>3</f>
        <v>3</v>
      </c>
      <c r="E1552" s="7">
        <f>0</f>
        <v>0</v>
      </c>
      <c r="F1552" s="17">
        <f>4</f>
        <v>4</v>
      </c>
      <c r="G1552" s="17">
        <f>1</f>
        <v>1</v>
      </c>
      <c r="H1552" s="17">
        <f>30</f>
        <v>30</v>
      </c>
      <c r="I1552" s="16">
        <f>H1552/(F1552-G1552)</f>
        <v>10</v>
      </c>
      <c r="J1552" s="17">
        <v>12</v>
      </c>
      <c r="K1552" s="25">
        <f>13</f>
        <v>13</v>
      </c>
      <c r="L1552" s="25">
        <f>0</f>
        <v>0</v>
      </c>
      <c r="M1552" s="25">
        <f>62</f>
        <v>62</v>
      </c>
      <c r="N1552" s="24" t="e">
        <f>M1552/L1552</f>
        <v>#DIV/0!</v>
      </c>
      <c r="O1552" s="23"/>
    </row>
    <row r="1553" spans="1:15" s="54" customFormat="1" x14ac:dyDescent="0.2">
      <c r="A1553" s="4"/>
      <c r="B1553" s="4" t="s">
        <v>1288</v>
      </c>
      <c r="C1553" s="2" t="s">
        <v>326</v>
      </c>
      <c r="D1553" s="7">
        <f>0</f>
        <v>0</v>
      </c>
      <c r="E1553" s="7"/>
      <c r="F1553" s="17">
        <f>4</f>
        <v>4</v>
      </c>
      <c r="G1553" s="17">
        <f>1</f>
        <v>1</v>
      </c>
      <c r="H1553" s="17">
        <f>39</f>
        <v>39</v>
      </c>
      <c r="I1553" s="16">
        <f>H1553/(F1553-G1553)</f>
        <v>13</v>
      </c>
      <c r="J1553" s="17">
        <v>18</v>
      </c>
      <c r="K1553" s="25">
        <f>5</f>
        <v>5</v>
      </c>
      <c r="L1553" s="25">
        <f>1</f>
        <v>1</v>
      </c>
      <c r="M1553" s="25">
        <f>36</f>
        <v>36</v>
      </c>
      <c r="N1553" s="24">
        <f>M1553/L1553</f>
        <v>36</v>
      </c>
      <c r="O1553" s="23"/>
    </row>
    <row r="1554" spans="1:15" s="54" customFormat="1" x14ac:dyDescent="0.2">
      <c r="A1554" s="4"/>
      <c r="B1554" s="2" t="s">
        <v>1289</v>
      </c>
      <c r="C1554" s="2" t="s">
        <v>11</v>
      </c>
      <c r="D1554" s="7">
        <v>0</v>
      </c>
      <c r="E1554" s="7"/>
      <c r="F1554" s="17">
        <v>12</v>
      </c>
      <c r="G1554" s="17">
        <v>2</v>
      </c>
      <c r="H1554" s="17">
        <v>20</v>
      </c>
      <c r="I1554" s="16">
        <f>H1554/(F1554-G1554)</f>
        <v>2</v>
      </c>
      <c r="J1554" s="17"/>
      <c r="K1554" s="25">
        <v>22</v>
      </c>
      <c r="L1554" s="25">
        <v>0</v>
      </c>
      <c r="M1554" s="25">
        <v>83</v>
      </c>
      <c r="N1554" s="24" t="e">
        <f>M1554/L1554</f>
        <v>#DIV/0!</v>
      </c>
      <c r="O1554" s="23"/>
    </row>
    <row r="1555" spans="1:15" s="54" customFormat="1" x14ac:dyDescent="0.2">
      <c r="A1555" s="4"/>
      <c r="B1555" s="2" t="s">
        <v>1290</v>
      </c>
      <c r="C1555" s="2" t="s">
        <v>19</v>
      </c>
      <c r="D1555" s="7">
        <v>4</v>
      </c>
      <c r="E1555" s="7"/>
      <c r="F1555" s="17">
        <f>8+2</f>
        <v>10</v>
      </c>
      <c r="G1555" s="17">
        <f>3+1</f>
        <v>4</v>
      </c>
      <c r="H1555" s="17">
        <v>9</v>
      </c>
      <c r="I1555" s="16">
        <f>H1555/(F1555-G1555)</f>
        <v>1.5</v>
      </c>
      <c r="J1555" s="17">
        <v>5</v>
      </c>
      <c r="K1555" s="25">
        <f>1+2</f>
        <v>3</v>
      </c>
      <c r="L1555" s="25">
        <v>0</v>
      </c>
      <c r="M1555" s="25">
        <f>4+6</f>
        <v>10</v>
      </c>
      <c r="N1555" s="24" t="e">
        <f>M1555/L1555</f>
        <v>#DIV/0!</v>
      </c>
      <c r="O1555" s="23"/>
    </row>
    <row r="1556" spans="1:15" s="54" customFormat="1" x14ac:dyDescent="0.2">
      <c r="A1556" s="4"/>
      <c r="B1556" s="2" t="s">
        <v>1291</v>
      </c>
      <c r="C1556" s="2" t="s">
        <v>86</v>
      </c>
      <c r="D1556" s="7">
        <f>5+4+5+1+2</f>
        <v>17</v>
      </c>
      <c r="E1556" s="7"/>
      <c r="F1556" s="17">
        <f>10+9+8+2+1+9+1+10</f>
        <v>50</v>
      </c>
      <c r="G1556" s="17">
        <f>1+1+2</f>
        <v>4</v>
      </c>
      <c r="H1556" s="17">
        <f>90+65+143+10+5+72+121</f>
        <v>506</v>
      </c>
      <c r="I1556" s="16">
        <f>H1556/(F1556-G1556)</f>
        <v>11</v>
      </c>
      <c r="J1556" s="17">
        <v>45</v>
      </c>
      <c r="K1556" s="25">
        <f>29+36+35+9</f>
        <v>109</v>
      </c>
      <c r="L1556" s="25">
        <f>3+4+8+2</f>
        <v>17</v>
      </c>
      <c r="M1556" s="25">
        <f>86+61+135+45</f>
        <v>327</v>
      </c>
      <c r="N1556" s="24">
        <f>M1556/L1556</f>
        <v>19.235294117647058</v>
      </c>
      <c r="O1556" s="23"/>
    </row>
    <row r="1557" spans="1:15" s="54" customFormat="1" x14ac:dyDescent="0.2">
      <c r="A1557" s="4"/>
      <c r="B1557" s="2" t="s">
        <v>1292</v>
      </c>
      <c r="C1557" s="2" t="s">
        <v>59</v>
      </c>
      <c r="D1557" s="7"/>
      <c r="E1557" s="7"/>
      <c r="F1557" s="17">
        <v>3</v>
      </c>
      <c r="G1557" s="17"/>
      <c r="H1557" s="17">
        <v>3</v>
      </c>
      <c r="I1557" s="16">
        <f>H1557/(F1557-G1557)</f>
        <v>1</v>
      </c>
      <c r="J1557" s="17">
        <v>3</v>
      </c>
      <c r="K1557" s="25">
        <v>2</v>
      </c>
      <c r="L1557" s="25">
        <v>1</v>
      </c>
      <c r="M1557" s="25">
        <v>17</v>
      </c>
      <c r="N1557" s="24">
        <f>M1557/L1557</f>
        <v>17</v>
      </c>
      <c r="O1557" s="23"/>
    </row>
    <row r="1558" spans="1:15" s="54" customFormat="1" x14ac:dyDescent="0.2">
      <c r="A1558" s="84">
        <v>1443822</v>
      </c>
      <c r="B1558" s="86" t="s">
        <v>1814</v>
      </c>
      <c r="C1558" s="2" t="s">
        <v>1651</v>
      </c>
      <c r="D1558" s="7">
        <f>4+4</f>
        <v>8</v>
      </c>
      <c r="E1558" s="7">
        <f>0+0</f>
        <v>0</v>
      </c>
      <c r="F1558" s="17">
        <f>9+7</f>
        <v>16</v>
      </c>
      <c r="G1558" s="17">
        <f>4+1</f>
        <v>5</v>
      </c>
      <c r="H1558" s="17">
        <f>77+27</f>
        <v>104</v>
      </c>
      <c r="I1558" s="16">
        <f>H1558/(F1558-G1558)</f>
        <v>9.454545454545455</v>
      </c>
      <c r="J1558" s="17" t="s">
        <v>397</v>
      </c>
      <c r="K1558" s="25">
        <f>85+55</f>
        <v>140</v>
      </c>
      <c r="L1558" s="25">
        <f>13+5</f>
        <v>18</v>
      </c>
      <c r="M1558" s="25">
        <f>257+153</f>
        <v>410</v>
      </c>
      <c r="N1558" s="24">
        <f>M1558/L1558</f>
        <v>22.777777777777779</v>
      </c>
      <c r="O1558" s="49" t="s">
        <v>1650</v>
      </c>
    </row>
    <row r="1559" spans="1:15" s="54" customFormat="1" x14ac:dyDescent="0.2">
      <c r="A1559" s="4">
        <v>2149181</v>
      </c>
      <c r="B1559" s="2" t="s">
        <v>2446</v>
      </c>
      <c r="C1559" s="2" t="s">
        <v>2186</v>
      </c>
      <c r="D1559" s="7">
        <f>0</f>
        <v>0</v>
      </c>
      <c r="E1559" s="7">
        <f>0</f>
        <v>0</v>
      </c>
      <c r="F1559" s="17">
        <f>1</f>
        <v>1</v>
      </c>
      <c r="G1559" s="17">
        <f>0</f>
        <v>0</v>
      </c>
      <c r="H1559" s="17">
        <f>5</f>
        <v>5</v>
      </c>
      <c r="I1559" s="16">
        <f>H1559/(F1559-G1559)</f>
        <v>5</v>
      </c>
      <c r="J1559" s="17">
        <v>5</v>
      </c>
      <c r="K1559" s="25">
        <f>4</f>
        <v>4</v>
      </c>
      <c r="L1559" s="25">
        <f>0</f>
        <v>0</v>
      </c>
      <c r="M1559" s="25">
        <f>9</f>
        <v>9</v>
      </c>
      <c r="N1559" s="24" t="e">
        <f>M1559/L1559</f>
        <v>#DIV/0!</v>
      </c>
      <c r="O1559" s="49" t="s">
        <v>1506</v>
      </c>
    </row>
    <row r="1560" spans="1:15" s="54" customFormat="1" x14ac:dyDescent="0.2">
      <c r="A1560" s="4">
        <v>682247</v>
      </c>
      <c r="B1560" s="4" t="s">
        <v>1293</v>
      </c>
      <c r="C1560" s="2" t="s">
        <v>378</v>
      </c>
      <c r="D1560" s="7">
        <f>4+8+5+4+1+3+1+4+10</f>
        <v>40</v>
      </c>
      <c r="E1560" s="7">
        <f>0+0</f>
        <v>0</v>
      </c>
      <c r="F1560" s="17">
        <f>9+14+14+13+12+11+16+20</f>
        <v>109</v>
      </c>
      <c r="G1560" s="17">
        <f>1+0+0+1+0+0+0+1</f>
        <v>3</v>
      </c>
      <c r="H1560" s="17">
        <f>50+286+187+109+95+134+156+268</f>
        <v>1285</v>
      </c>
      <c r="I1560" s="16">
        <f>H1560/(F1560-G1560)</f>
        <v>12.122641509433961</v>
      </c>
      <c r="J1560" s="17">
        <v>62</v>
      </c>
      <c r="K1560" s="25">
        <f>0+2+2+0.5+2+42.4+(0.4)</f>
        <v>49.3</v>
      </c>
      <c r="L1560" s="25">
        <f>0+0+0+1+0+7</f>
        <v>8</v>
      </c>
      <c r="M1560" s="25">
        <f>0+11+11+3+10+294</f>
        <v>329</v>
      </c>
      <c r="N1560" s="24">
        <f>M1560/L1560</f>
        <v>41.125</v>
      </c>
      <c r="O1560" s="49" t="s">
        <v>1467</v>
      </c>
    </row>
    <row r="1561" spans="1:15" s="54" customFormat="1" x14ac:dyDescent="0.2">
      <c r="A1561" s="4">
        <v>681731</v>
      </c>
      <c r="B1561" s="4" t="s">
        <v>1294</v>
      </c>
      <c r="C1561" s="2" t="s">
        <v>66</v>
      </c>
      <c r="D1561" s="7">
        <f>1+1+4+1+4+5+3</f>
        <v>19</v>
      </c>
      <c r="E1561" s="7">
        <f>0+0+0</f>
        <v>0</v>
      </c>
      <c r="F1561" s="17">
        <f>12+12+10+9+12+7+8</f>
        <v>70</v>
      </c>
      <c r="G1561" s="17">
        <f>1+1+1+0+2+2+3</f>
        <v>10</v>
      </c>
      <c r="H1561" s="17">
        <f>78+137+225+191+166+47+54</f>
        <v>898</v>
      </c>
      <c r="I1561" s="16">
        <f>H1561/(F1561-G1561)</f>
        <v>14.966666666666667</v>
      </c>
      <c r="J1561" s="17">
        <v>83</v>
      </c>
      <c r="K1561" s="25">
        <f>43+51.4+42+42+78+34+12</f>
        <v>302.39999999999998</v>
      </c>
      <c r="L1561" s="25">
        <f>4+11+6+4+12+4+1</f>
        <v>42</v>
      </c>
      <c r="M1561" s="25">
        <f>112+115+116+106+223+182+70</f>
        <v>924</v>
      </c>
      <c r="N1561" s="24">
        <f>M1561/L1561</f>
        <v>22</v>
      </c>
      <c r="O1561" s="49" t="s">
        <v>1392</v>
      </c>
    </row>
    <row r="1562" spans="1:15" s="54" customFormat="1" x14ac:dyDescent="0.2">
      <c r="A1562" s="84">
        <v>1762067</v>
      </c>
      <c r="B1562" s="2" t="s">
        <v>2007</v>
      </c>
      <c r="C1562" s="2" t="s">
        <v>2008</v>
      </c>
      <c r="D1562" s="7">
        <f>0</f>
        <v>0</v>
      </c>
      <c r="E1562" s="7">
        <f>0</f>
        <v>0</v>
      </c>
      <c r="F1562" s="17">
        <f>5</f>
        <v>5</v>
      </c>
      <c r="G1562" s="17">
        <f>1</f>
        <v>1</v>
      </c>
      <c r="H1562" s="17">
        <f>8</f>
        <v>8</v>
      </c>
      <c r="I1562" s="16">
        <f>H1562/(F1562-G1562)</f>
        <v>2</v>
      </c>
      <c r="J1562" s="17" t="s">
        <v>289</v>
      </c>
      <c r="K1562" s="25">
        <f>6</f>
        <v>6</v>
      </c>
      <c r="L1562" s="25">
        <f>0</f>
        <v>0</v>
      </c>
      <c r="M1562" s="25">
        <f>33</f>
        <v>33</v>
      </c>
      <c r="N1562" s="24" t="e">
        <f>M1562/L1562</f>
        <v>#DIV/0!</v>
      </c>
      <c r="O1562" s="23"/>
    </row>
    <row r="1563" spans="1:15" s="54" customFormat="1" x14ac:dyDescent="0.2">
      <c r="A1563" s="84">
        <v>1615918</v>
      </c>
      <c r="B1563" s="2" t="s">
        <v>1815</v>
      </c>
      <c r="C1563" s="2" t="s">
        <v>1780</v>
      </c>
      <c r="D1563" s="7">
        <f>5+9+8+2</f>
        <v>24</v>
      </c>
      <c r="E1563" s="7">
        <f>2+1</f>
        <v>3</v>
      </c>
      <c r="F1563" s="17">
        <f>11+7</f>
        <v>18</v>
      </c>
      <c r="G1563" s="17">
        <f>2+0</f>
        <v>2</v>
      </c>
      <c r="H1563" s="17">
        <f>249+39</f>
        <v>288</v>
      </c>
      <c r="I1563" s="16">
        <f>H1563/(F1563-G1563)</f>
        <v>18</v>
      </c>
      <c r="J1563" s="17">
        <v>52</v>
      </c>
      <c r="K1563" s="25">
        <f>3</f>
        <v>3</v>
      </c>
      <c r="L1563" s="25">
        <f>2</f>
        <v>2</v>
      </c>
      <c r="M1563" s="25">
        <f>6</f>
        <v>6</v>
      </c>
      <c r="N1563" s="24">
        <f>M1563/L1563</f>
        <v>3</v>
      </c>
      <c r="O1563" s="49" t="s">
        <v>1392</v>
      </c>
    </row>
    <row r="1564" spans="1:15" s="54" customFormat="1" x14ac:dyDescent="0.2">
      <c r="A1564" s="4"/>
      <c r="B1564" s="2" t="s">
        <v>1295</v>
      </c>
      <c r="C1564" s="2" t="s">
        <v>10</v>
      </c>
      <c r="D1564" s="7">
        <v>0</v>
      </c>
      <c r="E1564" s="7"/>
      <c r="F1564" s="17">
        <v>3</v>
      </c>
      <c r="G1564" s="17"/>
      <c r="H1564" s="17">
        <v>3</v>
      </c>
      <c r="I1564" s="16">
        <f>H1564/(F1564-G1564)</f>
        <v>1</v>
      </c>
      <c r="J1564" s="17">
        <v>2</v>
      </c>
      <c r="K1564" s="25"/>
      <c r="L1564" s="25"/>
      <c r="M1564" s="25"/>
      <c r="N1564" s="24" t="e">
        <f>M1564/L1564</f>
        <v>#DIV/0!</v>
      </c>
      <c r="O1564" s="23"/>
    </row>
    <row r="1565" spans="1:15" s="54" customFormat="1" x14ac:dyDescent="0.2">
      <c r="A1565" s="84">
        <v>1703076</v>
      </c>
      <c r="B1565" s="86" t="s">
        <v>2542</v>
      </c>
      <c r="C1565" s="2" t="s">
        <v>2543</v>
      </c>
      <c r="D1565" s="7">
        <v>0</v>
      </c>
      <c r="E1565" s="7">
        <v>0</v>
      </c>
      <c r="F1565" s="17">
        <v>5</v>
      </c>
      <c r="G1565" s="17">
        <v>5</v>
      </c>
      <c r="H1565" s="17">
        <v>8</v>
      </c>
      <c r="I1565" s="16" t="e">
        <f>H1565/(F1565-G1565)</f>
        <v>#DIV/0!</v>
      </c>
      <c r="J1565" s="17" t="s">
        <v>1346</v>
      </c>
      <c r="K1565" s="25">
        <v>6</v>
      </c>
      <c r="L1565" s="25">
        <v>0</v>
      </c>
      <c r="M1565" s="25">
        <v>20</v>
      </c>
      <c r="N1565" s="24" t="e">
        <f>M1565/L1565</f>
        <v>#DIV/0!</v>
      </c>
      <c r="O1565" s="23"/>
    </row>
    <row r="1566" spans="1:15" s="54" customFormat="1" x14ac:dyDescent="0.2">
      <c r="A1566" s="84">
        <v>2173701</v>
      </c>
      <c r="B1566" s="86" t="s">
        <v>2540</v>
      </c>
      <c r="C1566" s="2" t="s">
        <v>2541</v>
      </c>
      <c r="D1566" s="7">
        <v>0</v>
      </c>
      <c r="E1566" s="7">
        <v>0</v>
      </c>
      <c r="F1566" s="17">
        <v>5</v>
      </c>
      <c r="G1566" s="17">
        <v>5</v>
      </c>
      <c r="H1566" s="17">
        <v>8</v>
      </c>
      <c r="I1566" s="16" t="e">
        <f>H1566/(F1566-G1566)</f>
        <v>#DIV/0!</v>
      </c>
      <c r="J1566" s="17" t="s">
        <v>289</v>
      </c>
      <c r="K1566" s="25">
        <v>6</v>
      </c>
      <c r="L1566" s="25">
        <v>0</v>
      </c>
      <c r="M1566" s="25">
        <v>18</v>
      </c>
      <c r="N1566" s="24" t="e">
        <f>M1566/L1566</f>
        <v>#DIV/0!</v>
      </c>
      <c r="O1566" s="49" t="s">
        <v>1382</v>
      </c>
    </row>
    <row r="1567" spans="1:15" s="54" customFormat="1" x14ac:dyDescent="0.2">
      <c r="A1567" s="64"/>
      <c r="B1567" s="80"/>
      <c r="C1567" s="58"/>
      <c r="D1567" s="59"/>
      <c r="E1567" s="59"/>
      <c r="F1567" s="60"/>
      <c r="G1567" s="60"/>
      <c r="H1567" s="60"/>
      <c r="I1567" s="61" t="e">
        <f>H1567/(F1567-G1567)</f>
        <v>#DIV/0!</v>
      </c>
      <c r="J1567" s="60"/>
      <c r="K1567" s="62"/>
      <c r="L1567" s="62"/>
      <c r="M1567" s="62"/>
      <c r="N1567" s="63" t="e">
        <f>M1567/L1567</f>
        <v>#DIV/0!</v>
      </c>
      <c r="O1567" s="81"/>
    </row>
    <row r="1568" spans="1:15" s="54" customFormat="1" x14ac:dyDescent="0.2">
      <c r="A1568" s="64"/>
      <c r="B1568" s="80"/>
      <c r="C1568" s="58"/>
      <c r="D1568" s="59"/>
      <c r="E1568" s="59"/>
      <c r="F1568" s="60"/>
      <c r="G1568" s="60"/>
      <c r="H1568" s="60"/>
      <c r="I1568" s="61" t="e">
        <f>H1568/(F1568-G1568)</f>
        <v>#DIV/0!</v>
      </c>
      <c r="J1568" s="60"/>
      <c r="K1568" s="62"/>
      <c r="L1568" s="62"/>
      <c r="M1568" s="62"/>
      <c r="N1568" s="63" t="e">
        <f>M1568/L1568</f>
        <v>#DIV/0!</v>
      </c>
      <c r="O1568" s="81"/>
    </row>
    <row r="1569" spans="1:15" s="54" customFormat="1" x14ac:dyDescent="0.2">
      <c r="A1569" s="64"/>
      <c r="B1569" s="80"/>
      <c r="C1569" s="58"/>
      <c r="D1569" s="59"/>
      <c r="E1569" s="59"/>
      <c r="F1569" s="60"/>
      <c r="G1569" s="60"/>
      <c r="H1569" s="60"/>
      <c r="I1569" s="61" t="e">
        <f>H1569/(F1569-G1569)</f>
        <v>#DIV/0!</v>
      </c>
      <c r="J1569" s="60"/>
      <c r="K1569" s="62"/>
      <c r="L1569" s="62"/>
      <c r="M1569" s="62"/>
      <c r="N1569" s="63" t="e">
        <f>M1569/L1569</f>
        <v>#DIV/0!</v>
      </c>
      <c r="O1569" s="81"/>
    </row>
    <row r="1570" spans="1:15" s="54" customFormat="1" x14ac:dyDescent="0.2">
      <c r="A1570" s="57"/>
      <c r="B1570" s="65"/>
      <c r="C1570" s="58"/>
      <c r="D1570" s="59"/>
      <c r="E1570" s="59"/>
      <c r="F1570" s="60"/>
      <c r="G1570" s="60"/>
      <c r="H1570" s="60"/>
      <c r="I1570" s="61" t="e">
        <f>H1570/(F1570-G1570)</f>
        <v>#DIV/0!</v>
      </c>
      <c r="J1570" s="60"/>
      <c r="K1570" s="62"/>
      <c r="L1570" s="62"/>
      <c r="M1570" s="62"/>
      <c r="N1570" s="63" t="e">
        <f>M1570/L1570</f>
        <v>#DIV/0!</v>
      </c>
      <c r="O1570" s="81"/>
    </row>
    <row r="1571" spans="1:15" s="54" customFormat="1" x14ac:dyDescent="0.2">
      <c r="A1571" s="57"/>
      <c r="B1571" s="65"/>
      <c r="C1571" s="58"/>
      <c r="D1571" s="59"/>
      <c r="E1571" s="59"/>
      <c r="F1571" s="60"/>
      <c r="G1571" s="60"/>
      <c r="H1571" s="60"/>
      <c r="I1571" s="61" t="e">
        <f>H1571/(F1571-G1571)</f>
        <v>#DIV/0!</v>
      </c>
      <c r="J1571" s="60"/>
      <c r="K1571" s="62"/>
      <c r="L1571" s="62"/>
      <c r="M1571" s="62"/>
      <c r="N1571" s="63" t="e">
        <f>M1571/L1571</f>
        <v>#DIV/0!</v>
      </c>
      <c r="O1571" s="81"/>
    </row>
    <row r="1572" spans="1:15" x14ac:dyDescent="0.2"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46"/>
    </row>
    <row r="1573" spans="1:15" x14ac:dyDescent="0.2"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46"/>
    </row>
    <row r="1574" spans="1:15" x14ac:dyDescent="0.2"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46"/>
    </row>
    <row r="1575" spans="1:15" x14ac:dyDescent="0.2"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46"/>
    </row>
    <row r="1576" spans="1:15" x14ac:dyDescent="0.2"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46"/>
    </row>
    <row r="1577" spans="1:15" x14ac:dyDescent="0.2"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46"/>
    </row>
    <row r="1578" spans="1:15" x14ac:dyDescent="0.2"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46"/>
    </row>
    <row r="1579" spans="1:15" x14ac:dyDescent="0.2"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46"/>
    </row>
    <row r="1580" spans="1:15" x14ac:dyDescent="0.2"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46"/>
    </row>
    <row r="1581" spans="1:15" x14ac:dyDescent="0.2"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46"/>
    </row>
    <row r="1582" spans="1:15" x14ac:dyDescent="0.2"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46"/>
    </row>
    <row r="1583" spans="1:15" x14ac:dyDescent="0.2"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46"/>
    </row>
    <row r="1584" spans="1:15" x14ac:dyDescent="0.2"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46"/>
    </row>
    <row r="1585" spans="4:15" x14ac:dyDescent="0.2"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46"/>
    </row>
  </sheetData>
  <sheetProtection selectLockedCells="1" selectUnlockedCells="1"/>
  <sortState xmlns:xlrd2="http://schemas.microsoft.com/office/spreadsheetml/2017/richdata2" ref="A6:O1571">
    <sortCondition ref="B6:B1571"/>
  </sortState>
  <phoneticPr fontId="0" type="noConversion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>
    <oddFooter>&amp;R&amp;F
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MASTER</vt:lpstr>
      <vt:lpstr>Sheet1</vt:lpstr>
      <vt:lpstr>MASTER!Print_Titles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Norris001</dc:creator>
  <cp:lastModifiedBy>Ian Warwick</cp:lastModifiedBy>
  <cp:lastPrinted>2021-04-16T00:11:15Z</cp:lastPrinted>
  <dcterms:created xsi:type="dcterms:W3CDTF">2004-03-31T09:12:12Z</dcterms:created>
  <dcterms:modified xsi:type="dcterms:W3CDTF">2023-04-23T06:03:23Z</dcterms:modified>
</cp:coreProperties>
</file>